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D:\Herru\2024\KENDALI\"/>
    </mc:Choice>
  </mc:AlternateContent>
  <xr:revisionPtr revIDLastSave="0" documentId="8_{1F579842-DC38-4174-A579-251F01DF81B5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Kendali Global" sheetId="3" r:id="rId1"/>
    <sheet name="Kendali Rekening" sheetId="1" r:id="rId2"/>
    <sheet name="Sheet1" sheetId="4" r:id="rId3"/>
  </sheets>
  <definedNames>
    <definedName name="_xlnm._FilterDatabase" localSheetId="0" hidden="1">'Kendali Global'!$A$9:$W$22</definedName>
    <definedName name="_xlnm._FilterDatabase" localSheetId="1" hidden="1">'Kendali Rekening'!$A$13:$W$660</definedName>
    <definedName name="_xlnm.Print_Area" localSheetId="0">'Kendali Global'!$A$1:$W$22</definedName>
    <definedName name="_xlnm.Print_Area" localSheetId="1">'Kendali Rekening'!$A$1:$W$668</definedName>
    <definedName name="_xlnm.Print_Titles" localSheetId="0">'Kendali Global'!$1:$8</definedName>
    <definedName name="_xlnm.Print_Titles" localSheetId="1">'Kendali Rekening'!$1:$11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38" i="1" l="1"/>
  <c r="H638" i="1"/>
  <c r="H637" i="1" s="1"/>
  <c r="H636" i="1" s="1"/>
  <c r="G638" i="1"/>
  <c r="G637" i="1" s="1"/>
  <c r="G636" i="1" s="1"/>
  <c r="I637" i="1"/>
  <c r="I636" i="1" s="1"/>
  <c r="I631" i="1"/>
  <c r="H631" i="1"/>
  <c r="G631" i="1"/>
  <c r="I627" i="1"/>
  <c r="H627" i="1"/>
  <c r="G627" i="1"/>
  <c r="I624" i="1"/>
  <c r="I623" i="1" s="1"/>
  <c r="H624" i="1"/>
  <c r="G624" i="1"/>
  <c r="G623" i="1" s="1"/>
  <c r="H623" i="1"/>
  <c r="I621" i="1"/>
  <c r="H621" i="1"/>
  <c r="G621" i="1"/>
  <c r="I619" i="1"/>
  <c r="H619" i="1"/>
  <c r="G619" i="1"/>
  <c r="I615" i="1"/>
  <c r="I612" i="1" s="1"/>
  <c r="H615" i="1"/>
  <c r="G615" i="1"/>
  <c r="I613" i="1"/>
  <c r="H613" i="1"/>
  <c r="H612" i="1" s="1"/>
  <c r="G613" i="1"/>
  <c r="G612" i="1"/>
  <c r="I607" i="1"/>
  <c r="H607" i="1"/>
  <c r="G607" i="1"/>
  <c r="I604" i="1"/>
  <c r="I603" i="1" s="1"/>
  <c r="H604" i="1"/>
  <c r="G604" i="1"/>
  <c r="H603" i="1"/>
  <c r="G603" i="1"/>
  <c r="I601" i="1"/>
  <c r="H601" i="1"/>
  <c r="G601" i="1"/>
  <c r="I599" i="1"/>
  <c r="H599" i="1"/>
  <c r="G599" i="1"/>
  <c r="I596" i="1"/>
  <c r="H596" i="1"/>
  <c r="G596" i="1"/>
  <c r="I594" i="1"/>
  <c r="H594" i="1"/>
  <c r="H586" i="1" s="1"/>
  <c r="G594" i="1"/>
  <c r="I589" i="1"/>
  <c r="H589" i="1"/>
  <c r="G589" i="1"/>
  <c r="G586" i="1" s="1"/>
  <c r="I587" i="1"/>
  <c r="H587" i="1"/>
  <c r="G587" i="1"/>
  <c r="I586" i="1"/>
  <c r="I581" i="1"/>
  <c r="H581" i="1"/>
  <c r="H580" i="1" s="1"/>
  <c r="G581" i="1"/>
  <c r="I580" i="1"/>
  <c r="G580" i="1"/>
  <c r="I577" i="1"/>
  <c r="H577" i="1"/>
  <c r="G577" i="1"/>
  <c r="I576" i="1"/>
  <c r="I571" i="1" s="1"/>
  <c r="H576" i="1"/>
  <c r="G576" i="1"/>
  <c r="I573" i="1"/>
  <c r="H573" i="1"/>
  <c r="H572" i="1" s="1"/>
  <c r="G573" i="1"/>
  <c r="I572" i="1"/>
  <c r="G572" i="1"/>
  <c r="G571" i="1" s="1"/>
  <c r="I551" i="1"/>
  <c r="I550" i="1" s="1"/>
  <c r="I549" i="1" s="1"/>
  <c r="H551" i="1"/>
  <c r="H550" i="1" s="1"/>
  <c r="H549" i="1" s="1"/>
  <c r="G551" i="1"/>
  <c r="G550" i="1"/>
  <c r="G549" i="1" s="1"/>
  <c r="I544" i="1"/>
  <c r="I537" i="1" s="1"/>
  <c r="H544" i="1"/>
  <c r="G544" i="1"/>
  <c r="I541" i="1"/>
  <c r="H541" i="1"/>
  <c r="G541" i="1"/>
  <c r="I538" i="1"/>
  <c r="H538" i="1"/>
  <c r="H537" i="1" s="1"/>
  <c r="G538" i="1"/>
  <c r="G537" i="1" s="1"/>
  <c r="I535" i="1"/>
  <c r="H535" i="1"/>
  <c r="G535" i="1"/>
  <c r="I533" i="1"/>
  <c r="H533" i="1"/>
  <c r="H524" i="1" s="1"/>
  <c r="G533" i="1"/>
  <c r="I527" i="1"/>
  <c r="H527" i="1"/>
  <c r="G527" i="1"/>
  <c r="G524" i="1" s="1"/>
  <c r="I525" i="1"/>
  <c r="H525" i="1"/>
  <c r="G525" i="1"/>
  <c r="I524" i="1"/>
  <c r="I516" i="1"/>
  <c r="H516" i="1"/>
  <c r="G516" i="1"/>
  <c r="I514" i="1"/>
  <c r="H514" i="1"/>
  <c r="H513" i="1" s="1"/>
  <c r="G514" i="1"/>
  <c r="G513" i="1" s="1"/>
  <c r="I513" i="1"/>
  <c r="I511" i="1"/>
  <c r="H511" i="1"/>
  <c r="G511" i="1"/>
  <c r="I509" i="1"/>
  <c r="H509" i="1"/>
  <c r="G509" i="1"/>
  <c r="I506" i="1"/>
  <c r="H506" i="1"/>
  <c r="G506" i="1"/>
  <c r="I504" i="1"/>
  <c r="H504" i="1"/>
  <c r="G504" i="1"/>
  <c r="I496" i="1"/>
  <c r="I493" i="1" s="1"/>
  <c r="H496" i="1"/>
  <c r="G496" i="1"/>
  <c r="I494" i="1"/>
  <c r="H494" i="1"/>
  <c r="H493" i="1" s="1"/>
  <c r="H481" i="1" s="1"/>
  <c r="H480" i="1" s="1"/>
  <c r="G494" i="1"/>
  <c r="G493" i="1"/>
  <c r="I490" i="1"/>
  <c r="H490" i="1"/>
  <c r="G490" i="1"/>
  <c r="I489" i="1"/>
  <c r="H489" i="1"/>
  <c r="G489" i="1"/>
  <c r="I487" i="1"/>
  <c r="H487" i="1"/>
  <c r="H486" i="1" s="1"/>
  <c r="G487" i="1"/>
  <c r="I486" i="1"/>
  <c r="G486" i="1"/>
  <c r="I483" i="1"/>
  <c r="H483" i="1"/>
  <c r="G483" i="1"/>
  <c r="I482" i="1"/>
  <c r="H482" i="1"/>
  <c r="G482" i="1"/>
  <c r="I471" i="1"/>
  <c r="H471" i="1"/>
  <c r="G471" i="1"/>
  <c r="I460" i="1"/>
  <c r="I459" i="1" s="1"/>
  <c r="I458" i="1" s="1"/>
  <c r="H460" i="1"/>
  <c r="G460" i="1"/>
  <c r="H459" i="1"/>
  <c r="H458" i="1" s="1"/>
  <c r="G459" i="1"/>
  <c r="G458" i="1"/>
  <c r="I454" i="1"/>
  <c r="H454" i="1"/>
  <c r="G454" i="1"/>
  <c r="I452" i="1"/>
  <c r="I448" i="1" s="1"/>
  <c r="H452" i="1"/>
  <c r="G452" i="1"/>
  <c r="I449" i="1"/>
  <c r="H449" i="1"/>
  <c r="H448" i="1" s="1"/>
  <c r="G449" i="1"/>
  <c r="G448" i="1"/>
  <c r="I445" i="1"/>
  <c r="H445" i="1"/>
  <c r="G445" i="1"/>
  <c r="I443" i="1"/>
  <c r="I435" i="1" s="1"/>
  <c r="H443" i="1"/>
  <c r="G443" i="1"/>
  <c r="I438" i="1"/>
  <c r="H438" i="1"/>
  <c r="H435" i="1" s="1"/>
  <c r="G438" i="1"/>
  <c r="I436" i="1"/>
  <c r="H436" i="1"/>
  <c r="G436" i="1"/>
  <c r="G435" i="1" s="1"/>
  <c r="I428" i="1"/>
  <c r="I427" i="1" s="1"/>
  <c r="H428" i="1"/>
  <c r="G428" i="1"/>
  <c r="H427" i="1"/>
  <c r="G427" i="1"/>
  <c r="I425" i="1"/>
  <c r="H425" i="1"/>
  <c r="G425" i="1"/>
  <c r="I423" i="1"/>
  <c r="H423" i="1"/>
  <c r="G423" i="1"/>
  <c r="I420" i="1"/>
  <c r="H420" i="1"/>
  <c r="G420" i="1"/>
  <c r="I417" i="1"/>
  <c r="H417" i="1"/>
  <c r="H404" i="1" s="1"/>
  <c r="G417" i="1"/>
  <c r="I408" i="1"/>
  <c r="H408" i="1"/>
  <c r="G408" i="1"/>
  <c r="G404" i="1" s="1"/>
  <c r="I405" i="1"/>
  <c r="H405" i="1"/>
  <c r="G405" i="1"/>
  <c r="I404" i="1"/>
  <c r="I401" i="1"/>
  <c r="H401" i="1"/>
  <c r="H400" i="1" s="1"/>
  <c r="G401" i="1"/>
  <c r="I400" i="1"/>
  <c r="G400" i="1"/>
  <c r="I395" i="1"/>
  <c r="H395" i="1"/>
  <c r="G395" i="1"/>
  <c r="I394" i="1"/>
  <c r="H394" i="1"/>
  <c r="G394" i="1"/>
  <c r="I391" i="1"/>
  <c r="H391" i="1"/>
  <c r="H390" i="1" s="1"/>
  <c r="G391" i="1"/>
  <c r="I390" i="1"/>
  <c r="G390" i="1"/>
  <c r="G389" i="1" s="1"/>
  <c r="G388" i="1" s="1"/>
  <c r="I354" i="1"/>
  <c r="I353" i="1" s="1"/>
  <c r="H354" i="1"/>
  <c r="H353" i="1" s="1"/>
  <c r="H335" i="1" s="1"/>
  <c r="H334" i="1" s="1"/>
  <c r="G354" i="1"/>
  <c r="G353" i="1"/>
  <c r="I337" i="1"/>
  <c r="H337" i="1"/>
  <c r="G337" i="1"/>
  <c r="G336" i="1" s="1"/>
  <c r="G335" i="1" s="1"/>
  <c r="G334" i="1" s="1"/>
  <c r="I336" i="1"/>
  <c r="H336" i="1"/>
  <c r="I324" i="1"/>
  <c r="I322" i="1" s="1"/>
  <c r="H324" i="1"/>
  <c r="G324" i="1"/>
  <c r="I323" i="1"/>
  <c r="H323" i="1"/>
  <c r="G323" i="1"/>
  <c r="H322" i="1"/>
  <c r="G322" i="1"/>
  <c r="I315" i="1"/>
  <c r="H315" i="1"/>
  <c r="G315" i="1"/>
  <c r="G314" i="1" s="1"/>
  <c r="G313" i="1" s="1"/>
  <c r="G312" i="1" s="1"/>
  <c r="I314" i="1"/>
  <c r="H314" i="1"/>
  <c r="I313" i="1"/>
  <c r="H313" i="1"/>
  <c r="H312" i="1"/>
  <c r="I293" i="1"/>
  <c r="H293" i="1"/>
  <c r="G293" i="1"/>
  <c r="G272" i="1" s="1"/>
  <c r="G271" i="1" s="1"/>
  <c r="G270" i="1" s="1"/>
  <c r="I273" i="1"/>
  <c r="H273" i="1"/>
  <c r="G273" i="1"/>
  <c r="I272" i="1"/>
  <c r="I271" i="1" s="1"/>
  <c r="I270" i="1" s="1"/>
  <c r="H272" i="1"/>
  <c r="H271" i="1"/>
  <c r="H270" i="1" s="1"/>
  <c r="I263" i="1"/>
  <c r="H263" i="1"/>
  <c r="G263" i="1"/>
  <c r="I262" i="1"/>
  <c r="H262" i="1"/>
  <c r="G262" i="1"/>
  <c r="I255" i="1"/>
  <c r="H255" i="1"/>
  <c r="H254" i="1" s="1"/>
  <c r="H245" i="1" s="1"/>
  <c r="H218" i="1" s="1"/>
  <c r="G255" i="1"/>
  <c r="I254" i="1"/>
  <c r="G254" i="1"/>
  <c r="G245" i="1" s="1"/>
  <c r="I247" i="1"/>
  <c r="H247" i="1"/>
  <c r="G247" i="1"/>
  <c r="I246" i="1"/>
  <c r="I245" i="1" s="1"/>
  <c r="H246" i="1"/>
  <c r="G246" i="1"/>
  <c r="I238" i="1"/>
  <c r="H238" i="1"/>
  <c r="G238" i="1"/>
  <c r="G230" i="1" s="1"/>
  <c r="G229" i="1" s="1"/>
  <c r="I231" i="1"/>
  <c r="H231" i="1"/>
  <c r="G231" i="1"/>
  <c r="I230" i="1"/>
  <c r="I229" i="1" s="1"/>
  <c r="H230" i="1"/>
  <c r="H229" i="1"/>
  <c r="I221" i="1"/>
  <c r="H221" i="1"/>
  <c r="G221" i="1"/>
  <c r="G220" i="1" s="1"/>
  <c r="G219" i="1" s="1"/>
  <c r="I220" i="1"/>
  <c r="H220" i="1"/>
  <c r="I219" i="1"/>
  <c r="I218" i="1" s="1"/>
  <c r="H219" i="1"/>
  <c r="I212" i="1"/>
  <c r="H212" i="1"/>
  <c r="G212" i="1"/>
  <c r="I205" i="1"/>
  <c r="H205" i="1"/>
  <c r="G205" i="1"/>
  <c r="I202" i="1"/>
  <c r="I197" i="1" s="1"/>
  <c r="H202" i="1"/>
  <c r="G202" i="1"/>
  <c r="H197" i="1"/>
  <c r="G197" i="1"/>
  <c r="I187" i="1"/>
  <c r="H187" i="1"/>
  <c r="G187" i="1"/>
  <c r="G186" i="1" s="1"/>
  <c r="G185" i="1" s="1"/>
  <c r="I186" i="1"/>
  <c r="H186" i="1"/>
  <c r="I185" i="1"/>
  <c r="H185" i="1"/>
  <c r="I181" i="1"/>
  <c r="H181" i="1"/>
  <c r="H180" i="1" s="1"/>
  <c r="G181" i="1"/>
  <c r="I180" i="1"/>
  <c r="G180" i="1"/>
  <c r="I176" i="1"/>
  <c r="H176" i="1"/>
  <c r="G176" i="1"/>
  <c r="I171" i="1"/>
  <c r="I166" i="1" s="1"/>
  <c r="H171" i="1"/>
  <c r="G171" i="1"/>
  <c r="I167" i="1"/>
  <c r="H167" i="1"/>
  <c r="H166" i="1" s="1"/>
  <c r="G167" i="1"/>
  <c r="G166" i="1"/>
  <c r="I162" i="1"/>
  <c r="H162" i="1"/>
  <c r="G162" i="1"/>
  <c r="I158" i="1"/>
  <c r="I149" i="1" s="1"/>
  <c r="H158" i="1"/>
  <c r="G158" i="1"/>
  <c r="I155" i="1"/>
  <c r="H155" i="1"/>
  <c r="H149" i="1" s="1"/>
  <c r="G155" i="1"/>
  <c r="I150" i="1"/>
  <c r="H150" i="1"/>
  <c r="G150" i="1"/>
  <c r="G149" i="1" s="1"/>
  <c r="G148" i="1" s="1"/>
  <c r="I143" i="1"/>
  <c r="H143" i="1"/>
  <c r="H136" i="1" s="1"/>
  <c r="G143" i="1"/>
  <c r="I141" i="1"/>
  <c r="H141" i="1"/>
  <c r="G141" i="1"/>
  <c r="G136" i="1" s="1"/>
  <c r="I137" i="1"/>
  <c r="H137" i="1"/>
  <c r="G137" i="1"/>
  <c r="I136" i="1"/>
  <c r="I125" i="1"/>
  <c r="H125" i="1"/>
  <c r="G125" i="1"/>
  <c r="I122" i="1"/>
  <c r="H122" i="1"/>
  <c r="G122" i="1"/>
  <c r="G114" i="1" s="1"/>
  <c r="I117" i="1"/>
  <c r="H117" i="1"/>
  <c r="G117" i="1"/>
  <c r="I115" i="1"/>
  <c r="I114" i="1" s="1"/>
  <c r="H115" i="1"/>
  <c r="G115" i="1"/>
  <c r="H114" i="1"/>
  <c r="I103" i="1"/>
  <c r="H103" i="1"/>
  <c r="G103" i="1"/>
  <c r="G98" i="1" s="1"/>
  <c r="I101" i="1"/>
  <c r="H101" i="1"/>
  <c r="G101" i="1"/>
  <c r="I99" i="1"/>
  <c r="I98" i="1" s="1"/>
  <c r="H99" i="1"/>
  <c r="G99" i="1"/>
  <c r="H98" i="1"/>
  <c r="I93" i="1"/>
  <c r="H93" i="1"/>
  <c r="G93" i="1"/>
  <c r="I91" i="1"/>
  <c r="H91" i="1"/>
  <c r="G91" i="1"/>
  <c r="I88" i="1"/>
  <c r="H88" i="1"/>
  <c r="G88" i="1"/>
  <c r="I86" i="1"/>
  <c r="H86" i="1"/>
  <c r="H65" i="1" s="1"/>
  <c r="G86" i="1"/>
  <c r="I68" i="1"/>
  <c r="H68" i="1"/>
  <c r="G68" i="1"/>
  <c r="G65" i="1" s="1"/>
  <c r="I66" i="1"/>
  <c r="H66" i="1"/>
  <c r="G66" i="1"/>
  <c r="I65" i="1"/>
  <c r="I62" i="1"/>
  <c r="H62" i="1"/>
  <c r="G62" i="1"/>
  <c r="I58" i="1"/>
  <c r="H58" i="1"/>
  <c r="G58" i="1"/>
  <c r="G51" i="1" s="1"/>
  <c r="G50" i="1" s="1"/>
  <c r="G49" i="1" s="1"/>
  <c r="G48" i="1" s="1"/>
  <c r="I54" i="1"/>
  <c r="H54" i="1"/>
  <c r="G54" i="1"/>
  <c r="I52" i="1"/>
  <c r="I51" i="1" s="1"/>
  <c r="I50" i="1" s="1"/>
  <c r="I49" i="1" s="1"/>
  <c r="H52" i="1"/>
  <c r="G52" i="1"/>
  <c r="H51" i="1"/>
  <c r="I42" i="1"/>
  <c r="H42" i="1"/>
  <c r="G42" i="1"/>
  <c r="I17" i="1"/>
  <c r="I16" i="1" s="1"/>
  <c r="I15" i="1" s="1"/>
  <c r="H17" i="1"/>
  <c r="H14" i="1" s="1"/>
  <c r="G17" i="1"/>
  <c r="H16" i="1"/>
  <c r="H15" i="1" s="1"/>
  <c r="G16" i="1"/>
  <c r="G15" i="1"/>
  <c r="I14" i="1"/>
  <c r="G14" i="1"/>
  <c r="H50" i="1" l="1"/>
  <c r="H49" i="1" s="1"/>
  <c r="H48" i="1" s="1"/>
  <c r="H47" i="1" s="1"/>
  <c r="H389" i="1"/>
  <c r="H388" i="1" s="1"/>
  <c r="H571" i="1"/>
  <c r="H570" i="1" s="1"/>
  <c r="H148" i="1"/>
  <c r="I335" i="1"/>
  <c r="I334" i="1" s="1"/>
  <c r="I389" i="1"/>
  <c r="I388" i="1" s="1"/>
  <c r="G481" i="1"/>
  <c r="G480" i="1" s="1"/>
  <c r="G570" i="1"/>
  <c r="I570" i="1"/>
  <c r="I148" i="1"/>
  <c r="I48" i="1" s="1"/>
  <c r="I47" i="1" s="1"/>
  <c r="I46" i="1" s="1"/>
  <c r="I13" i="1" s="1"/>
  <c r="G218" i="1"/>
  <c r="G47" i="1" s="1"/>
  <c r="G46" i="1" s="1"/>
  <c r="G13" i="1" s="1"/>
  <c r="I312" i="1"/>
  <c r="I481" i="1"/>
  <c r="I480" i="1" s="1"/>
  <c r="Z29" i="1"/>
  <c r="Y29" i="1"/>
  <c r="X29" i="1"/>
  <c r="Q29" i="1"/>
  <c r="P29" i="1"/>
  <c r="O29" i="1"/>
  <c r="S29" i="1" s="1"/>
  <c r="N29" i="1"/>
  <c r="J29" i="1"/>
  <c r="F29" i="1"/>
  <c r="H46" i="1" l="1"/>
  <c r="H13" i="1" s="1"/>
  <c r="R29" i="1"/>
  <c r="W29" i="1" s="1"/>
  <c r="V29" i="1" l="1"/>
  <c r="C470" i="1" l="1"/>
  <c r="C469" i="1"/>
  <c r="C463" i="1"/>
  <c r="R462" i="1"/>
  <c r="W462" i="1" s="1"/>
  <c r="Q462" i="1"/>
  <c r="P462" i="1"/>
  <c r="O462" i="1"/>
  <c r="S462" i="1" s="1"/>
  <c r="N462" i="1"/>
  <c r="J462" i="1"/>
  <c r="F462" i="1"/>
  <c r="Q309" i="1"/>
  <c r="P309" i="1"/>
  <c r="T309" i="1" s="1"/>
  <c r="O309" i="1"/>
  <c r="N309" i="1"/>
  <c r="J309" i="1"/>
  <c r="Z309" i="1"/>
  <c r="Y309" i="1"/>
  <c r="F309" i="1"/>
  <c r="C308" i="1"/>
  <c r="C303" i="1"/>
  <c r="Q300" i="1"/>
  <c r="P300" i="1"/>
  <c r="T300" i="1" s="1"/>
  <c r="O300" i="1"/>
  <c r="N300" i="1"/>
  <c r="J300" i="1"/>
  <c r="Z300" i="1"/>
  <c r="Y300" i="1"/>
  <c r="F300" i="1"/>
  <c r="C295" i="1"/>
  <c r="D276" i="1"/>
  <c r="R300" i="1" l="1"/>
  <c r="V462" i="1"/>
  <c r="R309" i="1"/>
  <c r="V309" i="1" s="1"/>
  <c r="S309" i="1"/>
  <c r="W300" i="1"/>
  <c r="V300" i="1"/>
  <c r="S300" i="1"/>
  <c r="W309" i="1" l="1"/>
  <c r="D290" i="1" l="1"/>
  <c r="C289" i="1"/>
  <c r="D288" i="1"/>
  <c r="C288" i="1"/>
  <c r="C284" i="1"/>
  <c r="C283" i="1"/>
  <c r="C282" i="1"/>
  <c r="C281" i="1"/>
  <c r="C279" i="1"/>
  <c r="D278" i="1"/>
  <c r="C278" i="1"/>
  <c r="C277" i="1"/>
  <c r="C276" i="1"/>
  <c r="C275" i="1"/>
  <c r="D275" i="1"/>
  <c r="C274" i="1"/>
  <c r="Q76" i="1"/>
  <c r="P76" i="1"/>
  <c r="O76" i="1"/>
  <c r="S76" i="1" s="1"/>
  <c r="N76" i="1"/>
  <c r="J77" i="1"/>
  <c r="F77" i="1"/>
  <c r="C76" i="1"/>
  <c r="N75" i="1"/>
  <c r="J75" i="1"/>
  <c r="Q75" i="1"/>
  <c r="Z75" i="1"/>
  <c r="P75" i="1"/>
  <c r="Y75" i="1"/>
  <c r="O75" i="1"/>
  <c r="S75" i="1" s="1"/>
  <c r="X75" i="1"/>
  <c r="F75" i="1"/>
  <c r="Q73" i="1"/>
  <c r="P73" i="1"/>
  <c r="O73" i="1"/>
  <c r="N73" i="1"/>
  <c r="J73" i="1"/>
  <c r="F73" i="1"/>
  <c r="C69" i="1"/>
  <c r="C40" i="1"/>
  <c r="C39" i="1"/>
  <c r="C32" i="1"/>
  <c r="C31" i="1"/>
  <c r="C28" i="1"/>
  <c r="C24" i="1"/>
  <c r="C23" i="1"/>
  <c r="C20" i="1"/>
  <c r="C18" i="1"/>
  <c r="R73" i="1" l="1"/>
  <c r="V73" i="1" s="1"/>
  <c r="R76" i="1"/>
  <c r="S73" i="1"/>
  <c r="R75" i="1"/>
  <c r="W73" i="1" l="1"/>
  <c r="V75" i="1"/>
  <c r="W75" i="1"/>
  <c r="H12" i="3"/>
  <c r="H11" i="3" s="1"/>
  <c r="X476" i="1" l="1"/>
  <c r="X470" i="1"/>
  <c r="Z663" i="1"/>
  <c r="Y663" i="1"/>
  <c r="X663" i="1"/>
  <c r="Z662" i="1"/>
  <c r="Y662" i="1"/>
  <c r="X662" i="1"/>
  <c r="Z661" i="1"/>
  <c r="Y661" i="1"/>
  <c r="X661" i="1"/>
  <c r="Z660" i="1"/>
  <c r="Y660" i="1"/>
  <c r="X660" i="1"/>
  <c r="Z659" i="1"/>
  <c r="Y659" i="1"/>
  <c r="X659" i="1"/>
  <c r="Z658" i="1"/>
  <c r="Y658" i="1"/>
  <c r="X658" i="1"/>
  <c r="Z657" i="1"/>
  <c r="Y657" i="1"/>
  <c r="X657" i="1"/>
  <c r="Z656" i="1"/>
  <c r="Y656" i="1"/>
  <c r="X656" i="1"/>
  <c r="Z655" i="1"/>
  <c r="Y655" i="1"/>
  <c r="X655" i="1"/>
  <c r="Z654" i="1"/>
  <c r="Y654" i="1"/>
  <c r="X654" i="1"/>
  <c r="Z653" i="1"/>
  <c r="Y653" i="1"/>
  <c r="X653" i="1"/>
  <c r="Z652" i="1"/>
  <c r="Y652" i="1"/>
  <c r="X652" i="1"/>
  <c r="Z651" i="1"/>
  <c r="Y651" i="1"/>
  <c r="X651" i="1"/>
  <c r="Z650" i="1"/>
  <c r="Y650" i="1"/>
  <c r="X650" i="1"/>
  <c r="Z649" i="1"/>
  <c r="Y649" i="1"/>
  <c r="X649" i="1"/>
  <c r="Z648" i="1"/>
  <c r="Y648" i="1"/>
  <c r="X648" i="1"/>
  <c r="Z647" i="1"/>
  <c r="Y647" i="1"/>
  <c r="X647" i="1"/>
  <c r="Z646" i="1"/>
  <c r="Y646" i="1"/>
  <c r="X646" i="1"/>
  <c r="Z645" i="1"/>
  <c r="Y645" i="1"/>
  <c r="X645" i="1"/>
  <c r="Z644" i="1"/>
  <c r="Y644" i="1"/>
  <c r="X644" i="1"/>
  <c r="Z643" i="1"/>
  <c r="Y643" i="1"/>
  <c r="X643" i="1"/>
  <c r="Z642" i="1"/>
  <c r="Y642" i="1"/>
  <c r="X642" i="1"/>
  <c r="Z641" i="1"/>
  <c r="Y641" i="1"/>
  <c r="X641" i="1"/>
  <c r="Z640" i="1"/>
  <c r="Y640" i="1"/>
  <c r="X640" i="1"/>
  <c r="Z639" i="1"/>
  <c r="Y639" i="1"/>
  <c r="X639" i="1"/>
  <c r="Z635" i="1"/>
  <c r="Y635" i="1"/>
  <c r="X635" i="1"/>
  <c r="Z634" i="1"/>
  <c r="Y634" i="1"/>
  <c r="X634" i="1"/>
  <c r="Z633" i="1"/>
  <c r="Y633" i="1"/>
  <c r="X633" i="1"/>
  <c r="Z632" i="1"/>
  <c r="Y632" i="1"/>
  <c r="X632" i="1"/>
  <c r="Z630" i="1"/>
  <c r="Y630" i="1"/>
  <c r="X630" i="1"/>
  <c r="Z629" i="1"/>
  <c r="Y629" i="1"/>
  <c r="X629" i="1"/>
  <c r="Z628" i="1"/>
  <c r="Y628" i="1"/>
  <c r="X628" i="1"/>
  <c r="Z627" i="1"/>
  <c r="Y627" i="1"/>
  <c r="Z626" i="1"/>
  <c r="Y626" i="1"/>
  <c r="X626" i="1"/>
  <c r="Z625" i="1"/>
  <c r="Y625" i="1"/>
  <c r="X625" i="1"/>
  <c r="Z624" i="1"/>
  <c r="Y624" i="1"/>
  <c r="X624" i="1"/>
  <c r="Z622" i="1"/>
  <c r="Y622" i="1"/>
  <c r="X622" i="1"/>
  <c r="Z620" i="1"/>
  <c r="Y620" i="1"/>
  <c r="X620" i="1"/>
  <c r="Z618" i="1"/>
  <c r="Y618" i="1"/>
  <c r="X618" i="1"/>
  <c r="Z617" i="1"/>
  <c r="Y617" i="1"/>
  <c r="X617" i="1"/>
  <c r="Z616" i="1"/>
  <c r="Y616" i="1"/>
  <c r="X616" i="1"/>
  <c r="Z614" i="1"/>
  <c r="Y614" i="1"/>
  <c r="X614" i="1"/>
  <c r="Z613" i="1"/>
  <c r="Y613" i="1"/>
  <c r="X613" i="1"/>
  <c r="Z611" i="1"/>
  <c r="Y611" i="1"/>
  <c r="X611" i="1"/>
  <c r="Z610" i="1"/>
  <c r="Y610" i="1"/>
  <c r="X610" i="1"/>
  <c r="Z609" i="1"/>
  <c r="Y609" i="1"/>
  <c r="X609" i="1"/>
  <c r="Z608" i="1"/>
  <c r="Y608" i="1"/>
  <c r="X608" i="1"/>
  <c r="Z607" i="1"/>
  <c r="Y607" i="1"/>
  <c r="X607" i="1"/>
  <c r="Z606" i="1"/>
  <c r="Y606" i="1"/>
  <c r="X606" i="1"/>
  <c r="Z605" i="1"/>
  <c r="Y605" i="1"/>
  <c r="X605" i="1"/>
  <c r="Z604" i="1"/>
  <c r="Y604" i="1"/>
  <c r="Z603" i="1"/>
  <c r="Y603" i="1"/>
  <c r="X603" i="1"/>
  <c r="Z602" i="1"/>
  <c r="Y602" i="1"/>
  <c r="X602" i="1"/>
  <c r="Z600" i="1"/>
  <c r="Y600" i="1"/>
  <c r="X600" i="1"/>
  <c r="Z598" i="1"/>
  <c r="Y598" i="1"/>
  <c r="X598" i="1"/>
  <c r="Z597" i="1"/>
  <c r="Y597" i="1"/>
  <c r="X597" i="1"/>
  <c r="Z596" i="1"/>
  <c r="Y596" i="1"/>
  <c r="X596" i="1"/>
  <c r="Z595" i="1"/>
  <c r="Y595" i="1"/>
  <c r="X595" i="1"/>
  <c r="Z593" i="1"/>
  <c r="Y593" i="1"/>
  <c r="X593" i="1"/>
  <c r="Z592" i="1"/>
  <c r="Y592" i="1"/>
  <c r="X592" i="1"/>
  <c r="Z591" i="1"/>
  <c r="Y591" i="1"/>
  <c r="X591" i="1"/>
  <c r="Z590" i="1"/>
  <c r="Y590" i="1"/>
  <c r="X590" i="1"/>
  <c r="Z589" i="1"/>
  <c r="Y589" i="1"/>
  <c r="Z588" i="1"/>
  <c r="Y588" i="1"/>
  <c r="X588" i="1"/>
  <c r="Z587" i="1"/>
  <c r="Y587" i="1"/>
  <c r="Z585" i="1"/>
  <c r="Y585" i="1"/>
  <c r="X585" i="1"/>
  <c r="Z584" i="1"/>
  <c r="Y584" i="1"/>
  <c r="X584" i="1"/>
  <c r="Z583" i="1"/>
  <c r="Y583" i="1"/>
  <c r="X583" i="1"/>
  <c r="Z582" i="1"/>
  <c r="Y582" i="1"/>
  <c r="X582" i="1"/>
  <c r="Z579" i="1"/>
  <c r="Y579" i="1"/>
  <c r="X579" i="1"/>
  <c r="Z578" i="1"/>
  <c r="Y578" i="1"/>
  <c r="X578" i="1"/>
  <c r="Z577" i="1"/>
  <c r="Y577" i="1"/>
  <c r="X577" i="1"/>
  <c r="Z576" i="1"/>
  <c r="Y576" i="1"/>
  <c r="X576" i="1"/>
  <c r="Z575" i="1"/>
  <c r="Y575" i="1"/>
  <c r="X575" i="1"/>
  <c r="Z574" i="1"/>
  <c r="Y574" i="1"/>
  <c r="X574" i="1"/>
  <c r="Z573" i="1"/>
  <c r="Y573" i="1"/>
  <c r="X573" i="1"/>
  <c r="Z572" i="1"/>
  <c r="Y572" i="1"/>
  <c r="X572" i="1"/>
  <c r="Z569" i="1"/>
  <c r="Y569" i="1"/>
  <c r="X569" i="1"/>
  <c r="Z568" i="1"/>
  <c r="Y568" i="1"/>
  <c r="X568" i="1"/>
  <c r="Z567" i="1"/>
  <c r="Y567" i="1"/>
  <c r="X567" i="1"/>
  <c r="Z566" i="1"/>
  <c r="Y566" i="1"/>
  <c r="X566" i="1"/>
  <c r="Z565" i="1"/>
  <c r="Y565" i="1"/>
  <c r="X565" i="1"/>
  <c r="Z564" i="1"/>
  <c r="Y564" i="1"/>
  <c r="X564" i="1"/>
  <c r="Z563" i="1"/>
  <c r="Y563" i="1"/>
  <c r="X563" i="1"/>
  <c r="Z562" i="1"/>
  <c r="Y562" i="1"/>
  <c r="X562" i="1"/>
  <c r="Z561" i="1"/>
  <c r="Y561" i="1"/>
  <c r="X561" i="1"/>
  <c r="Z560" i="1"/>
  <c r="Y560" i="1"/>
  <c r="X560" i="1"/>
  <c r="Z559" i="1"/>
  <c r="Y559" i="1"/>
  <c r="X559" i="1"/>
  <c r="Z558" i="1"/>
  <c r="Y558" i="1"/>
  <c r="X558" i="1"/>
  <c r="Z557" i="1"/>
  <c r="Y557" i="1"/>
  <c r="X557" i="1"/>
  <c r="Z556" i="1"/>
  <c r="Y556" i="1"/>
  <c r="X556" i="1"/>
  <c r="Z555" i="1"/>
  <c r="Y555" i="1"/>
  <c r="X555" i="1"/>
  <c r="Z554" i="1"/>
  <c r="Y554" i="1"/>
  <c r="X554" i="1"/>
  <c r="Z553" i="1"/>
  <c r="Y553" i="1"/>
  <c r="X553" i="1"/>
  <c r="Z552" i="1"/>
  <c r="Y552" i="1"/>
  <c r="X552" i="1"/>
  <c r="Z548" i="1"/>
  <c r="Y548" i="1"/>
  <c r="X548" i="1"/>
  <c r="Z547" i="1"/>
  <c r="Y547" i="1"/>
  <c r="X547" i="1"/>
  <c r="Z546" i="1"/>
  <c r="Y546" i="1"/>
  <c r="X546" i="1"/>
  <c r="Z545" i="1"/>
  <c r="Y545" i="1"/>
  <c r="X545" i="1"/>
  <c r="Z544" i="1"/>
  <c r="Y544" i="1"/>
  <c r="Z543" i="1"/>
  <c r="Y543" i="1"/>
  <c r="X543" i="1"/>
  <c r="Z542" i="1"/>
  <c r="Y542" i="1"/>
  <c r="X542" i="1"/>
  <c r="Z540" i="1"/>
  <c r="Y540" i="1"/>
  <c r="X540" i="1"/>
  <c r="Z539" i="1"/>
  <c r="Y539" i="1"/>
  <c r="X539" i="1"/>
  <c r="Z538" i="1"/>
  <c r="Y538" i="1"/>
  <c r="X538" i="1"/>
  <c r="Z536" i="1"/>
  <c r="Y536" i="1"/>
  <c r="X536" i="1"/>
  <c r="Z534" i="1"/>
  <c r="Y534" i="1"/>
  <c r="X534" i="1"/>
  <c r="Z532" i="1"/>
  <c r="Y532" i="1"/>
  <c r="X532" i="1"/>
  <c r="Z531" i="1"/>
  <c r="Y531" i="1"/>
  <c r="X531" i="1"/>
  <c r="Z530" i="1"/>
  <c r="Y530" i="1"/>
  <c r="X530" i="1"/>
  <c r="Z529" i="1"/>
  <c r="Y529" i="1"/>
  <c r="X529" i="1"/>
  <c r="Z528" i="1"/>
  <c r="Y528" i="1"/>
  <c r="X528" i="1"/>
  <c r="Z526" i="1"/>
  <c r="Y526" i="1"/>
  <c r="X526" i="1"/>
  <c r="Z523" i="1"/>
  <c r="Y523" i="1"/>
  <c r="X523" i="1"/>
  <c r="Z522" i="1"/>
  <c r="Y522" i="1"/>
  <c r="X522" i="1"/>
  <c r="Z521" i="1"/>
  <c r="Y521" i="1"/>
  <c r="X521" i="1"/>
  <c r="Z520" i="1"/>
  <c r="Y520" i="1"/>
  <c r="X520" i="1"/>
  <c r="Z519" i="1"/>
  <c r="Y519" i="1"/>
  <c r="X519" i="1"/>
  <c r="Z518" i="1"/>
  <c r="Y518" i="1"/>
  <c r="X518" i="1"/>
  <c r="Z517" i="1"/>
  <c r="Y517" i="1"/>
  <c r="X517" i="1"/>
  <c r="Z516" i="1"/>
  <c r="Y516" i="1"/>
  <c r="X516" i="1"/>
  <c r="Z515" i="1"/>
  <c r="Y515" i="1"/>
  <c r="X515" i="1"/>
  <c r="Z514" i="1"/>
  <c r="Y514" i="1"/>
  <c r="X514" i="1"/>
  <c r="Z513" i="1"/>
  <c r="Y513" i="1"/>
  <c r="X513" i="1"/>
  <c r="Z512" i="1"/>
  <c r="Y512" i="1"/>
  <c r="X512" i="1"/>
  <c r="Z510" i="1"/>
  <c r="Y510" i="1"/>
  <c r="X510" i="1"/>
  <c r="Z508" i="1"/>
  <c r="Y508" i="1"/>
  <c r="X508" i="1"/>
  <c r="Z507" i="1"/>
  <c r="Y507" i="1"/>
  <c r="X507" i="1"/>
  <c r="Z505" i="1"/>
  <c r="Y505" i="1"/>
  <c r="X505" i="1"/>
  <c r="Z504" i="1"/>
  <c r="Y504" i="1"/>
  <c r="Z503" i="1"/>
  <c r="Y503" i="1"/>
  <c r="X503" i="1"/>
  <c r="Z502" i="1"/>
  <c r="Y502" i="1"/>
  <c r="X502" i="1"/>
  <c r="Z501" i="1"/>
  <c r="Y501" i="1"/>
  <c r="X501" i="1"/>
  <c r="Z500" i="1"/>
  <c r="Y500" i="1"/>
  <c r="X500" i="1"/>
  <c r="Z499" i="1"/>
  <c r="Y499" i="1"/>
  <c r="X499" i="1"/>
  <c r="Z498" i="1"/>
  <c r="Y498" i="1"/>
  <c r="X498" i="1"/>
  <c r="Z497" i="1"/>
  <c r="Y497" i="1"/>
  <c r="X497" i="1"/>
  <c r="Z495" i="1"/>
  <c r="Y495" i="1"/>
  <c r="X495" i="1"/>
  <c r="Z492" i="1"/>
  <c r="Y492" i="1"/>
  <c r="X492" i="1"/>
  <c r="Z491" i="1"/>
  <c r="Y491" i="1"/>
  <c r="X491" i="1"/>
  <c r="Z490" i="1"/>
  <c r="Y490" i="1"/>
  <c r="X490" i="1"/>
  <c r="Z489" i="1"/>
  <c r="Y489" i="1"/>
  <c r="X489" i="1"/>
  <c r="Z488" i="1"/>
  <c r="Y488" i="1"/>
  <c r="X488" i="1"/>
  <c r="Z487" i="1"/>
  <c r="Y487" i="1"/>
  <c r="X487" i="1"/>
  <c r="Z486" i="1"/>
  <c r="Y486" i="1"/>
  <c r="X486" i="1"/>
  <c r="Z485" i="1"/>
  <c r="Y485" i="1"/>
  <c r="X485" i="1"/>
  <c r="Z484" i="1"/>
  <c r="Y484" i="1"/>
  <c r="X484" i="1"/>
  <c r="Z479" i="1"/>
  <c r="Y479" i="1"/>
  <c r="X479" i="1"/>
  <c r="Z478" i="1"/>
  <c r="Y478" i="1"/>
  <c r="X478" i="1"/>
  <c r="Z477" i="1"/>
  <c r="Y477" i="1"/>
  <c r="X477" i="1"/>
  <c r="Z476" i="1"/>
  <c r="Y476" i="1"/>
  <c r="Z475" i="1"/>
  <c r="Y475" i="1"/>
  <c r="X475" i="1"/>
  <c r="Z474" i="1"/>
  <c r="Y474" i="1"/>
  <c r="X474" i="1"/>
  <c r="Z473" i="1"/>
  <c r="Y473" i="1"/>
  <c r="X473" i="1"/>
  <c r="Z472" i="1"/>
  <c r="Y472" i="1"/>
  <c r="X472" i="1"/>
  <c r="Z470" i="1"/>
  <c r="Y470" i="1"/>
  <c r="Z469" i="1"/>
  <c r="Y469" i="1"/>
  <c r="X469" i="1"/>
  <c r="Z468" i="1"/>
  <c r="Y468" i="1"/>
  <c r="X468" i="1"/>
  <c r="Z467" i="1"/>
  <c r="Y467" i="1"/>
  <c r="X467" i="1"/>
  <c r="Z466" i="1"/>
  <c r="Y466" i="1"/>
  <c r="X466" i="1"/>
  <c r="Z465" i="1"/>
  <c r="Y465" i="1"/>
  <c r="X465" i="1"/>
  <c r="Z464" i="1"/>
  <c r="Y464" i="1"/>
  <c r="X464" i="1"/>
  <c r="Z463" i="1"/>
  <c r="Y463" i="1"/>
  <c r="X463" i="1"/>
  <c r="Z461" i="1"/>
  <c r="Y461" i="1"/>
  <c r="X461" i="1"/>
  <c r="Z457" i="1"/>
  <c r="Y457" i="1"/>
  <c r="X457" i="1"/>
  <c r="Z456" i="1"/>
  <c r="Y456" i="1"/>
  <c r="X456" i="1"/>
  <c r="Z455" i="1"/>
  <c r="Y455" i="1"/>
  <c r="X455" i="1"/>
  <c r="Z454" i="1"/>
  <c r="Y454" i="1"/>
  <c r="X454" i="1"/>
  <c r="Z453" i="1"/>
  <c r="Y453" i="1"/>
  <c r="X453" i="1"/>
  <c r="Z451" i="1"/>
  <c r="Y451" i="1"/>
  <c r="X451" i="1"/>
  <c r="Z450" i="1"/>
  <c r="Y450" i="1"/>
  <c r="X450" i="1"/>
  <c r="Z449" i="1"/>
  <c r="Y449" i="1"/>
  <c r="X449" i="1"/>
  <c r="Z447" i="1"/>
  <c r="Y447" i="1"/>
  <c r="X447" i="1"/>
  <c r="Z446" i="1"/>
  <c r="Y446" i="1"/>
  <c r="X446" i="1"/>
  <c r="Z444" i="1"/>
  <c r="Y444" i="1"/>
  <c r="X444" i="1"/>
  <c r="Z442" i="1"/>
  <c r="Y442" i="1"/>
  <c r="X442" i="1"/>
  <c r="Z441" i="1"/>
  <c r="Y441" i="1"/>
  <c r="X441" i="1"/>
  <c r="Z440" i="1"/>
  <c r="Y440" i="1"/>
  <c r="X440" i="1"/>
  <c r="Z439" i="1"/>
  <c r="Y439" i="1"/>
  <c r="X439" i="1"/>
  <c r="Z437" i="1"/>
  <c r="Y437" i="1"/>
  <c r="X437" i="1"/>
  <c r="Z436" i="1"/>
  <c r="Y436" i="1"/>
  <c r="X436" i="1"/>
  <c r="Z434" i="1"/>
  <c r="Y434" i="1"/>
  <c r="X434" i="1"/>
  <c r="Z433" i="1"/>
  <c r="Y433" i="1"/>
  <c r="X433" i="1"/>
  <c r="Z432" i="1"/>
  <c r="Y432" i="1"/>
  <c r="X432" i="1"/>
  <c r="Z431" i="1"/>
  <c r="Y431" i="1"/>
  <c r="X431" i="1"/>
  <c r="Z430" i="1"/>
  <c r="Y430" i="1"/>
  <c r="X430" i="1"/>
  <c r="Z429" i="1"/>
  <c r="Y429" i="1"/>
  <c r="X429" i="1"/>
  <c r="Z428" i="1"/>
  <c r="Y428" i="1"/>
  <c r="X428" i="1"/>
  <c r="Z427" i="1"/>
  <c r="Y427" i="1"/>
  <c r="X427" i="1"/>
  <c r="Z426" i="1"/>
  <c r="Y426" i="1"/>
  <c r="X426" i="1"/>
  <c r="Z424" i="1"/>
  <c r="Y424" i="1"/>
  <c r="X424" i="1"/>
  <c r="Z422" i="1"/>
  <c r="Y422" i="1"/>
  <c r="X422" i="1"/>
  <c r="Z421" i="1"/>
  <c r="Y421" i="1"/>
  <c r="X421" i="1"/>
  <c r="Z420" i="1"/>
  <c r="Y420" i="1"/>
  <c r="X420" i="1"/>
  <c r="Z419" i="1"/>
  <c r="Y419" i="1"/>
  <c r="X419" i="1"/>
  <c r="Z418" i="1"/>
  <c r="Y418" i="1"/>
  <c r="X418" i="1"/>
  <c r="Z416" i="1"/>
  <c r="Y416" i="1"/>
  <c r="X416" i="1"/>
  <c r="Z415" i="1"/>
  <c r="Y415" i="1"/>
  <c r="X415" i="1"/>
  <c r="Z414" i="1"/>
  <c r="Y414" i="1"/>
  <c r="X414" i="1"/>
  <c r="Z413" i="1"/>
  <c r="Y413" i="1"/>
  <c r="X413" i="1"/>
  <c r="Z412" i="1"/>
  <c r="Y412" i="1"/>
  <c r="X412" i="1"/>
  <c r="Z411" i="1"/>
  <c r="Y411" i="1"/>
  <c r="X411" i="1"/>
  <c r="Z410" i="1"/>
  <c r="Y410" i="1"/>
  <c r="X410" i="1"/>
  <c r="Z409" i="1"/>
  <c r="Y409" i="1"/>
  <c r="X409" i="1"/>
  <c r="Z407" i="1"/>
  <c r="Y407" i="1"/>
  <c r="X407" i="1"/>
  <c r="Z406" i="1"/>
  <c r="Y406" i="1"/>
  <c r="X406" i="1"/>
  <c r="Z405" i="1"/>
  <c r="Y405" i="1"/>
  <c r="X405" i="1"/>
  <c r="Z403" i="1"/>
  <c r="Y403" i="1"/>
  <c r="X403" i="1"/>
  <c r="Z402" i="1"/>
  <c r="Y402" i="1"/>
  <c r="X402" i="1"/>
  <c r="Z399" i="1"/>
  <c r="Y399" i="1"/>
  <c r="X399" i="1"/>
  <c r="Z398" i="1"/>
  <c r="Y398" i="1"/>
  <c r="X398" i="1"/>
  <c r="Z397" i="1"/>
  <c r="Y397" i="1"/>
  <c r="X397" i="1"/>
  <c r="Z396" i="1"/>
  <c r="Y396" i="1"/>
  <c r="X396" i="1"/>
  <c r="Z395" i="1"/>
  <c r="Y395" i="1"/>
  <c r="X395" i="1"/>
  <c r="Z394" i="1"/>
  <c r="Y394" i="1"/>
  <c r="X394" i="1"/>
  <c r="Z393" i="1"/>
  <c r="Y393" i="1"/>
  <c r="X393" i="1"/>
  <c r="Z392" i="1"/>
  <c r="Y392" i="1"/>
  <c r="X392" i="1"/>
  <c r="Z391" i="1"/>
  <c r="Y391" i="1"/>
  <c r="Z390" i="1"/>
  <c r="Y390" i="1"/>
  <c r="Z387" i="1"/>
  <c r="Y387" i="1"/>
  <c r="X387" i="1"/>
  <c r="Z386" i="1"/>
  <c r="Y386" i="1"/>
  <c r="X386" i="1"/>
  <c r="Z385" i="1"/>
  <c r="Y385" i="1"/>
  <c r="X385" i="1"/>
  <c r="Z384" i="1"/>
  <c r="Y384" i="1"/>
  <c r="X384" i="1"/>
  <c r="Z383" i="1"/>
  <c r="Y383" i="1"/>
  <c r="X383" i="1"/>
  <c r="Z382" i="1"/>
  <c r="Y382" i="1"/>
  <c r="X382" i="1"/>
  <c r="Z381" i="1"/>
  <c r="Y381" i="1"/>
  <c r="X381" i="1"/>
  <c r="Z380" i="1"/>
  <c r="Y380" i="1"/>
  <c r="X380" i="1"/>
  <c r="Z379" i="1"/>
  <c r="Y379" i="1"/>
  <c r="X379" i="1"/>
  <c r="Z378" i="1"/>
  <c r="Y378" i="1"/>
  <c r="X378" i="1"/>
  <c r="Z377" i="1"/>
  <c r="Y377" i="1"/>
  <c r="X377" i="1"/>
  <c r="Z376" i="1"/>
  <c r="Y376" i="1"/>
  <c r="X376" i="1"/>
  <c r="Z375" i="1"/>
  <c r="Y375" i="1"/>
  <c r="X375" i="1"/>
  <c r="Z374" i="1"/>
  <c r="Y374" i="1"/>
  <c r="X374" i="1"/>
  <c r="Z373" i="1"/>
  <c r="Y373" i="1"/>
  <c r="X373" i="1"/>
  <c r="Z372" i="1"/>
  <c r="Y372" i="1"/>
  <c r="X372" i="1"/>
  <c r="Z371" i="1"/>
  <c r="Y371" i="1"/>
  <c r="X371" i="1"/>
  <c r="Z370" i="1"/>
  <c r="Y370" i="1"/>
  <c r="X370" i="1"/>
  <c r="Z369" i="1"/>
  <c r="Y369" i="1"/>
  <c r="X369" i="1"/>
  <c r="Z368" i="1"/>
  <c r="Y368" i="1"/>
  <c r="X368" i="1"/>
  <c r="Z367" i="1"/>
  <c r="Y367" i="1"/>
  <c r="X367" i="1"/>
  <c r="Z366" i="1"/>
  <c r="Y366" i="1"/>
  <c r="X366" i="1"/>
  <c r="Z365" i="1"/>
  <c r="Y365" i="1"/>
  <c r="X365" i="1"/>
  <c r="Z364" i="1"/>
  <c r="Y364" i="1"/>
  <c r="X364" i="1"/>
  <c r="Z363" i="1"/>
  <c r="Y363" i="1"/>
  <c r="X363" i="1"/>
  <c r="Z362" i="1"/>
  <c r="Y362" i="1"/>
  <c r="X362" i="1"/>
  <c r="Z361" i="1"/>
  <c r="Y361" i="1"/>
  <c r="X361" i="1"/>
  <c r="Z360" i="1"/>
  <c r="Y360" i="1"/>
  <c r="X360" i="1"/>
  <c r="Z359" i="1"/>
  <c r="Y359" i="1"/>
  <c r="X359" i="1"/>
  <c r="Z358" i="1"/>
  <c r="Y358" i="1"/>
  <c r="X358" i="1"/>
  <c r="Z357" i="1"/>
  <c r="Y357" i="1"/>
  <c r="X357" i="1"/>
  <c r="Z356" i="1"/>
  <c r="Y356" i="1"/>
  <c r="X356" i="1"/>
  <c r="Z355" i="1"/>
  <c r="Y355" i="1"/>
  <c r="X355" i="1"/>
  <c r="Z352" i="1"/>
  <c r="Y352" i="1"/>
  <c r="X352" i="1"/>
  <c r="Z351" i="1"/>
  <c r="Y351" i="1"/>
  <c r="X351" i="1"/>
  <c r="Z350" i="1"/>
  <c r="Y350" i="1"/>
  <c r="X350" i="1"/>
  <c r="Z349" i="1"/>
  <c r="Y349" i="1"/>
  <c r="X349" i="1"/>
  <c r="Z348" i="1"/>
  <c r="Y348" i="1"/>
  <c r="X348" i="1"/>
  <c r="Z347" i="1"/>
  <c r="Y347" i="1"/>
  <c r="X347" i="1"/>
  <c r="Z346" i="1"/>
  <c r="Y346" i="1"/>
  <c r="X346" i="1"/>
  <c r="Z345" i="1"/>
  <c r="Y345" i="1"/>
  <c r="X345" i="1"/>
  <c r="Z344" i="1"/>
  <c r="Y344" i="1"/>
  <c r="X344" i="1"/>
  <c r="Z343" i="1"/>
  <c r="Y343" i="1"/>
  <c r="X343" i="1"/>
  <c r="Z342" i="1"/>
  <c r="Y342" i="1"/>
  <c r="X342" i="1"/>
  <c r="Z341" i="1"/>
  <c r="Y341" i="1"/>
  <c r="X341" i="1"/>
  <c r="Z340" i="1"/>
  <c r="Y340" i="1"/>
  <c r="X340" i="1"/>
  <c r="Z339" i="1"/>
  <c r="Y339" i="1"/>
  <c r="X339" i="1"/>
  <c r="Z338" i="1"/>
  <c r="Y338" i="1"/>
  <c r="X338" i="1"/>
  <c r="Z333" i="1"/>
  <c r="Y333" i="1"/>
  <c r="X333" i="1"/>
  <c r="Z332" i="1"/>
  <c r="Y332" i="1"/>
  <c r="X332" i="1"/>
  <c r="Z331" i="1"/>
  <c r="Y331" i="1"/>
  <c r="X331" i="1"/>
  <c r="Z330" i="1"/>
  <c r="Y330" i="1"/>
  <c r="X330" i="1"/>
  <c r="Z329" i="1"/>
  <c r="Y329" i="1"/>
  <c r="X329" i="1"/>
  <c r="Z328" i="1"/>
  <c r="Y328" i="1"/>
  <c r="X328" i="1"/>
  <c r="Z327" i="1"/>
  <c r="Y327" i="1"/>
  <c r="X327" i="1"/>
  <c r="Z326" i="1"/>
  <c r="Y326" i="1"/>
  <c r="X326" i="1"/>
  <c r="Z325" i="1"/>
  <c r="Y325" i="1"/>
  <c r="X325" i="1"/>
  <c r="Z321" i="1"/>
  <c r="Y321" i="1"/>
  <c r="X321" i="1"/>
  <c r="Z320" i="1"/>
  <c r="Y320" i="1"/>
  <c r="X320" i="1"/>
  <c r="Z319" i="1"/>
  <c r="Y319" i="1"/>
  <c r="X319" i="1"/>
  <c r="Z318" i="1"/>
  <c r="Y318" i="1"/>
  <c r="X318" i="1"/>
  <c r="Z317" i="1"/>
  <c r="Y317" i="1"/>
  <c r="X317" i="1"/>
  <c r="Z316" i="1"/>
  <c r="Y316" i="1"/>
  <c r="X316" i="1"/>
  <c r="Z311" i="1"/>
  <c r="Y311" i="1"/>
  <c r="X311" i="1"/>
  <c r="Z310" i="1"/>
  <c r="Y310" i="1"/>
  <c r="X310" i="1"/>
  <c r="Z308" i="1"/>
  <c r="Y308" i="1"/>
  <c r="X308" i="1"/>
  <c r="Z307" i="1"/>
  <c r="Y307" i="1"/>
  <c r="X307" i="1"/>
  <c r="Z306" i="1"/>
  <c r="Y306" i="1"/>
  <c r="X306" i="1"/>
  <c r="Z305" i="1"/>
  <c r="Y305" i="1"/>
  <c r="X305" i="1"/>
  <c r="Z304" i="1"/>
  <c r="Y304" i="1"/>
  <c r="X304" i="1"/>
  <c r="Z303" i="1"/>
  <c r="Y303" i="1"/>
  <c r="X303" i="1"/>
  <c r="Z302" i="1"/>
  <c r="Y302" i="1"/>
  <c r="X302" i="1"/>
  <c r="Z301" i="1"/>
  <c r="Y301" i="1"/>
  <c r="X301" i="1"/>
  <c r="Z299" i="1"/>
  <c r="Y299" i="1"/>
  <c r="X299" i="1"/>
  <c r="Z298" i="1"/>
  <c r="Y298" i="1"/>
  <c r="X298" i="1"/>
  <c r="Z297" i="1"/>
  <c r="Y297" i="1"/>
  <c r="X297" i="1"/>
  <c r="Z296" i="1"/>
  <c r="Y296" i="1"/>
  <c r="X296" i="1"/>
  <c r="Z295" i="1"/>
  <c r="Y295" i="1"/>
  <c r="X295" i="1"/>
  <c r="Z294" i="1"/>
  <c r="Y294" i="1"/>
  <c r="X294" i="1"/>
  <c r="Z292" i="1"/>
  <c r="Y292" i="1"/>
  <c r="X292" i="1"/>
  <c r="Z291" i="1"/>
  <c r="Y291" i="1"/>
  <c r="X291" i="1"/>
  <c r="Z290" i="1"/>
  <c r="Y290" i="1"/>
  <c r="X290" i="1"/>
  <c r="Z289" i="1"/>
  <c r="Y289" i="1"/>
  <c r="X289" i="1"/>
  <c r="Z288" i="1"/>
  <c r="Y288" i="1"/>
  <c r="X288" i="1"/>
  <c r="Z287" i="1"/>
  <c r="Y287" i="1"/>
  <c r="X287" i="1"/>
  <c r="Z286" i="1"/>
  <c r="Y286" i="1"/>
  <c r="X286" i="1"/>
  <c r="Z285" i="1"/>
  <c r="Y285" i="1"/>
  <c r="X285" i="1"/>
  <c r="Z284" i="1"/>
  <c r="Y284" i="1"/>
  <c r="X284" i="1"/>
  <c r="Z283" i="1"/>
  <c r="Y283" i="1"/>
  <c r="X283" i="1"/>
  <c r="Z282" i="1"/>
  <c r="Y282" i="1"/>
  <c r="X282" i="1"/>
  <c r="Z281" i="1"/>
  <c r="Y281" i="1"/>
  <c r="X281" i="1"/>
  <c r="Z280" i="1"/>
  <c r="Y280" i="1"/>
  <c r="X280" i="1"/>
  <c r="Z279" i="1"/>
  <c r="Y279" i="1"/>
  <c r="X279" i="1"/>
  <c r="Z278" i="1"/>
  <c r="Y278" i="1"/>
  <c r="X278" i="1"/>
  <c r="Z277" i="1"/>
  <c r="Y277" i="1"/>
  <c r="X277" i="1"/>
  <c r="Z276" i="1"/>
  <c r="Y276" i="1"/>
  <c r="X276" i="1"/>
  <c r="Z275" i="1"/>
  <c r="Y275" i="1"/>
  <c r="X275" i="1"/>
  <c r="Z274" i="1"/>
  <c r="Y274" i="1"/>
  <c r="X274" i="1"/>
  <c r="Z269" i="1"/>
  <c r="Y269" i="1"/>
  <c r="X269" i="1"/>
  <c r="Z268" i="1"/>
  <c r="Y268" i="1"/>
  <c r="X268" i="1"/>
  <c r="Z267" i="1"/>
  <c r="Y267" i="1"/>
  <c r="X267" i="1"/>
  <c r="Z266" i="1"/>
  <c r="Y266" i="1"/>
  <c r="X266" i="1"/>
  <c r="Z265" i="1"/>
  <c r="Y265" i="1"/>
  <c r="X265" i="1"/>
  <c r="Z264" i="1"/>
  <c r="Y264" i="1"/>
  <c r="X264" i="1"/>
  <c r="Z261" i="1"/>
  <c r="Y261" i="1"/>
  <c r="X261" i="1"/>
  <c r="Z260" i="1"/>
  <c r="Y260" i="1"/>
  <c r="X260" i="1"/>
  <c r="Z259" i="1"/>
  <c r="Y259" i="1"/>
  <c r="X259" i="1"/>
  <c r="Z258" i="1"/>
  <c r="Y258" i="1"/>
  <c r="X258" i="1"/>
  <c r="Z257" i="1"/>
  <c r="Y257" i="1"/>
  <c r="X257" i="1"/>
  <c r="Z256" i="1"/>
  <c r="Y256" i="1"/>
  <c r="X256" i="1"/>
  <c r="Z253" i="1"/>
  <c r="Y253" i="1"/>
  <c r="X253" i="1"/>
  <c r="Z252" i="1"/>
  <c r="Y252" i="1"/>
  <c r="X252" i="1"/>
  <c r="Z251" i="1"/>
  <c r="Y251" i="1"/>
  <c r="X251" i="1"/>
  <c r="Z250" i="1"/>
  <c r="Y250" i="1"/>
  <c r="X250" i="1"/>
  <c r="Z249" i="1"/>
  <c r="Y249" i="1"/>
  <c r="X249" i="1"/>
  <c r="Z248" i="1"/>
  <c r="Y248" i="1"/>
  <c r="X248" i="1"/>
  <c r="Z244" i="1"/>
  <c r="Y244" i="1"/>
  <c r="X244" i="1"/>
  <c r="Z243" i="1"/>
  <c r="Y243" i="1"/>
  <c r="X243" i="1"/>
  <c r="Z242" i="1"/>
  <c r="Y242" i="1"/>
  <c r="X242" i="1"/>
  <c r="Z241" i="1"/>
  <c r="Y241" i="1"/>
  <c r="X241" i="1"/>
  <c r="Z240" i="1"/>
  <c r="Y240" i="1"/>
  <c r="X240" i="1"/>
  <c r="Z239" i="1"/>
  <c r="Y239" i="1"/>
  <c r="X239" i="1"/>
  <c r="Z237" i="1"/>
  <c r="Y237" i="1"/>
  <c r="X237" i="1"/>
  <c r="Z236" i="1"/>
  <c r="Y236" i="1"/>
  <c r="X236" i="1"/>
  <c r="Z235" i="1"/>
  <c r="Y235" i="1"/>
  <c r="X235" i="1"/>
  <c r="Z234" i="1"/>
  <c r="Y234" i="1"/>
  <c r="X234" i="1"/>
  <c r="Z233" i="1"/>
  <c r="Y233" i="1"/>
  <c r="X233" i="1"/>
  <c r="Z232" i="1"/>
  <c r="Y232" i="1"/>
  <c r="X232" i="1"/>
  <c r="Z228" i="1"/>
  <c r="Y228" i="1"/>
  <c r="X228" i="1"/>
  <c r="Z227" i="1"/>
  <c r="Y227" i="1"/>
  <c r="X227" i="1"/>
  <c r="Z226" i="1"/>
  <c r="Y226" i="1"/>
  <c r="X226" i="1"/>
  <c r="Z225" i="1"/>
  <c r="Y225" i="1"/>
  <c r="X225" i="1"/>
  <c r="Z224" i="1"/>
  <c r="Y224" i="1"/>
  <c r="X224" i="1"/>
  <c r="Z223" i="1"/>
  <c r="Y223" i="1"/>
  <c r="X223" i="1"/>
  <c r="Z222" i="1"/>
  <c r="Y222" i="1"/>
  <c r="X222" i="1"/>
  <c r="Z217" i="1"/>
  <c r="Y217" i="1"/>
  <c r="X217" i="1"/>
  <c r="Z216" i="1"/>
  <c r="Y216" i="1"/>
  <c r="X216" i="1"/>
  <c r="Z215" i="1"/>
  <c r="Y215" i="1"/>
  <c r="X215" i="1"/>
  <c r="Z214" i="1"/>
  <c r="Y214" i="1"/>
  <c r="X214" i="1"/>
  <c r="Z213" i="1"/>
  <c r="Y213" i="1"/>
  <c r="X213" i="1"/>
  <c r="Z211" i="1"/>
  <c r="Y211" i="1"/>
  <c r="X211" i="1"/>
  <c r="Z210" i="1"/>
  <c r="Y210" i="1"/>
  <c r="X210" i="1"/>
  <c r="Z209" i="1"/>
  <c r="Y209" i="1"/>
  <c r="X209" i="1"/>
  <c r="Z208" i="1"/>
  <c r="Y208" i="1"/>
  <c r="X208" i="1"/>
  <c r="Z207" i="1"/>
  <c r="Y207" i="1"/>
  <c r="X207" i="1"/>
  <c r="Z206" i="1"/>
  <c r="Y206" i="1"/>
  <c r="X206" i="1"/>
  <c r="Z204" i="1"/>
  <c r="Y204" i="1"/>
  <c r="X204" i="1"/>
  <c r="Z203" i="1"/>
  <c r="Y203" i="1"/>
  <c r="X203" i="1"/>
  <c r="Z201" i="1"/>
  <c r="Y201" i="1"/>
  <c r="X201" i="1"/>
  <c r="Z200" i="1"/>
  <c r="Y200" i="1"/>
  <c r="X200" i="1"/>
  <c r="Z199" i="1"/>
  <c r="Y199" i="1"/>
  <c r="X199" i="1"/>
  <c r="Z198" i="1"/>
  <c r="Y198" i="1"/>
  <c r="X198" i="1"/>
  <c r="Z196" i="1"/>
  <c r="Y196" i="1"/>
  <c r="X196" i="1"/>
  <c r="Z195" i="1"/>
  <c r="Y195" i="1"/>
  <c r="X195" i="1"/>
  <c r="Z194" i="1"/>
  <c r="Y194" i="1"/>
  <c r="X194" i="1"/>
  <c r="Z193" i="1"/>
  <c r="Y193" i="1"/>
  <c r="X193" i="1"/>
  <c r="Z192" i="1"/>
  <c r="Y192" i="1"/>
  <c r="X192" i="1"/>
  <c r="Z191" i="1"/>
  <c r="Y191" i="1"/>
  <c r="X191" i="1"/>
  <c r="Z190" i="1"/>
  <c r="Y190" i="1"/>
  <c r="X190" i="1"/>
  <c r="Z189" i="1"/>
  <c r="Y189" i="1"/>
  <c r="X189" i="1"/>
  <c r="Z188" i="1"/>
  <c r="Y188" i="1"/>
  <c r="X188" i="1"/>
  <c r="Z184" i="1"/>
  <c r="Y184" i="1"/>
  <c r="X184" i="1"/>
  <c r="Z183" i="1"/>
  <c r="Y183" i="1"/>
  <c r="X183" i="1"/>
  <c r="Z182" i="1"/>
  <c r="Y182" i="1"/>
  <c r="X182" i="1"/>
  <c r="Z179" i="1"/>
  <c r="Y179" i="1"/>
  <c r="X179" i="1"/>
  <c r="Z178" i="1"/>
  <c r="Y178" i="1"/>
  <c r="X178" i="1"/>
  <c r="Z177" i="1"/>
  <c r="Y177" i="1"/>
  <c r="X177" i="1"/>
  <c r="Z175" i="1"/>
  <c r="Y175" i="1"/>
  <c r="X175" i="1"/>
  <c r="Z174" i="1"/>
  <c r="Y174" i="1"/>
  <c r="X174" i="1"/>
  <c r="Z173" i="1"/>
  <c r="Y173" i="1"/>
  <c r="X173" i="1"/>
  <c r="Z172" i="1"/>
  <c r="Y172" i="1"/>
  <c r="X172" i="1"/>
  <c r="Z170" i="1"/>
  <c r="Y170" i="1"/>
  <c r="X170" i="1"/>
  <c r="Z169" i="1"/>
  <c r="Y169" i="1"/>
  <c r="X169" i="1"/>
  <c r="Z168" i="1"/>
  <c r="Y168" i="1"/>
  <c r="X168" i="1"/>
  <c r="Z165" i="1"/>
  <c r="Y165" i="1"/>
  <c r="X165" i="1"/>
  <c r="Z164" i="1"/>
  <c r="Y164" i="1"/>
  <c r="X164" i="1"/>
  <c r="Z163" i="1"/>
  <c r="Y163" i="1"/>
  <c r="X163" i="1"/>
  <c r="Z161" i="1"/>
  <c r="Y161" i="1"/>
  <c r="X161" i="1"/>
  <c r="Z160" i="1"/>
  <c r="Y160" i="1"/>
  <c r="X160" i="1"/>
  <c r="Z159" i="1"/>
  <c r="Y159" i="1"/>
  <c r="X159" i="1"/>
  <c r="Z157" i="1"/>
  <c r="Y157" i="1"/>
  <c r="X157" i="1"/>
  <c r="Z156" i="1"/>
  <c r="Y156" i="1"/>
  <c r="X156" i="1"/>
  <c r="Z154" i="1"/>
  <c r="Y154" i="1"/>
  <c r="X154" i="1"/>
  <c r="Z153" i="1"/>
  <c r="Y153" i="1"/>
  <c r="X153" i="1"/>
  <c r="Z152" i="1"/>
  <c r="Y152" i="1"/>
  <c r="X152" i="1"/>
  <c r="Z151" i="1"/>
  <c r="Y151" i="1"/>
  <c r="X151" i="1"/>
  <c r="Z147" i="1"/>
  <c r="Y147" i="1"/>
  <c r="X147" i="1"/>
  <c r="Z146" i="1"/>
  <c r="Y146" i="1"/>
  <c r="X146" i="1"/>
  <c r="Z145" i="1"/>
  <c r="Y145" i="1"/>
  <c r="X145" i="1"/>
  <c r="Z144" i="1"/>
  <c r="Y144" i="1"/>
  <c r="X144" i="1"/>
  <c r="Z142" i="1"/>
  <c r="Y142" i="1"/>
  <c r="X142" i="1"/>
  <c r="Z140" i="1"/>
  <c r="Y140" i="1"/>
  <c r="X140" i="1"/>
  <c r="Z139" i="1"/>
  <c r="Y139" i="1"/>
  <c r="X139" i="1"/>
  <c r="Z138" i="1"/>
  <c r="Y138" i="1"/>
  <c r="X138" i="1"/>
  <c r="Z135" i="1"/>
  <c r="Y135" i="1"/>
  <c r="X135" i="1"/>
  <c r="Z134" i="1"/>
  <c r="Y134" i="1"/>
  <c r="X134" i="1"/>
  <c r="Z133" i="1"/>
  <c r="Y133" i="1"/>
  <c r="X133" i="1"/>
  <c r="Z132" i="1"/>
  <c r="Y132" i="1"/>
  <c r="X132" i="1"/>
  <c r="Z131" i="1"/>
  <c r="Y131" i="1"/>
  <c r="X131" i="1"/>
  <c r="Z130" i="1"/>
  <c r="Y130" i="1"/>
  <c r="X130" i="1"/>
  <c r="Z129" i="1"/>
  <c r="Y129" i="1"/>
  <c r="X129" i="1"/>
  <c r="Z128" i="1"/>
  <c r="Y128" i="1"/>
  <c r="X128" i="1"/>
  <c r="Z127" i="1"/>
  <c r="Y127" i="1"/>
  <c r="X127" i="1"/>
  <c r="Z126" i="1"/>
  <c r="Y126" i="1"/>
  <c r="X126" i="1"/>
  <c r="Z124" i="1"/>
  <c r="Y124" i="1"/>
  <c r="X124" i="1"/>
  <c r="Z123" i="1"/>
  <c r="Y123" i="1"/>
  <c r="X123" i="1"/>
  <c r="Z121" i="1"/>
  <c r="Y121" i="1"/>
  <c r="X121" i="1"/>
  <c r="Z120" i="1"/>
  <c r="Y120" i="1"/>
  <c r="X120" i="1"/>
  <c r="Z119" i="1"/>
  <c r="Y119" i="1"/>
  <c r="X119" i="1"/>
  <c r="Z118" i="1"/>
  <c r="Y118" i="1"/>
  <c r="X118" i="1"/>
  <c r="Z116" i="1"/>
  <c r="Y116" i="1"/>
  <c r="X116" i="1"/>
  <c r="Z113" i="1"/>
  <c r="Y113" i="1"/>
  <c r="X113" i="1"/>
  <c r="Z112" i="1"/>
  <c r="Y112" i="1"/>
  <c r="X112" i="1"/>
  <c r="Z111" i="1"/>
  <c r="Y111" i="1"/>
  <c r="X111" i="1"/>
  <c r="Z110" i="1"/>
  <c r="Y110" i="1"/>
  <c r="X110" i="1"/>
  <c r="Z109" i="1"/>
  <c r="Y109" i="1"/>
  <c r="X109" i="1"/>
  <c r="Z108" i="1"/>
  <c r="Y108" i="1"/>
  <c r="X108" i="1"/>
  <c r="Z107" i="1"/>
  <c r="Y107" i="1"/>
  <c r="X107" i="1"/>
  <c r="Z106" i="1"/>
  <c r="Y106" i="1"/>
  <c r="X106" i="1"/>
  <c r="Z105" i="1"/>
  <c r="Y105" i="1"/>
  <c r="X105" i="1"/>
  <c r="Z104" i="1"/>
  <c r="Y104" i="1"/>
  <c r="X104" i="1"/>
  <c r="Z102" i="1"/>
  <c r="Y102" i="1"/>
  <c r="X102" i="1"/>
  <c r="Z100" i="1"/>
  <c r="Y100" i="1"/>
  <c r="X100" i="1"/>
  <c r="Z97" i="1"/>
  <c r="Y97" i="1"/>
  <c r="X97" i="1"/>
  <c r="Z96" i="1"/>
  <c r="Y96" i="1"/>
  <c r="X96" i="1"/>
  <c r="Z95" i="1"/>
  <c r="Y95" i="1"/>
  <c r="X95" i="1"/>
  <c r="Z94" i="1"/>
  <c r="Y94" i="1"/>
  <c r="X94" i="1"/>
  <c r="Z92" i="1"/>
  <c r="Y92" i="1"/>
  <c r="X92" i="1"/>
  <c r="Z90" i="1"/>
  <c r="Y90" i="1"/>
  <c r="X90" i="1"/>
  <c r="Z89" i="1"/>
  <c r="Y89" i="1"/>
  <c r="X89" i="1"/>
  <c r="Z87" i="1"/>
  <c r="Y87" i="1"/>
  <c r="X87" i="1"/>
  <c r="Z85" i="1"/>
  <c r="Y85" i="1"/>
  <c r="X85" i="1"/>
  <c r="Z84" i="1"/>
  <c r="Y84" i="1"/>
  <c r="X84" i="1"/>
  <c r="Z83" i="1"/>
  <c r="Y83" i="1"/>
  <c r="X83" i="1"/>
  <c r="Z82" i="1"/>
  <c r="Y82" i="1"/>
  <c r="X82" i="1"/>
  <c r="Z81" i="1"/>
  <c r="Y81" i="1"/>
  <c r="X81" i="1"/>
  <c r="Z80" i="1"/>
  <c r="Y80" i="1"/>
  <c r="X80" i="1"/>
  <c r="Z79" i="1"/>
  <c r="Y79" i="1"/>
  <c r="X79" i="1"/>
  <c r="Z78" i="1"/>
  <c r="Y78" i="1"/>
  <c r="X78" i="1"/>
  <c r="Z76" i="1"/>
  <c r="Y76" i="1"/>
  <c r="X76" i="1"/>
  <c r="Z74" i="1"/>
  <c r="Y74" i="1"/>
  <c r="X74" i="1"/>
  <c r="Z72" i="1"/>
  <c r="Y72" i="1"/>
  <c r="X72" i="1"/>
  <c r="Z71" i="1"/>
  <c r="Y71" i="1"/>
  <c r="X71" i="1"/>
  <c r="Z70" i="1"/>
  <c r="Y70" i="1"/>
  <c r="X70" i="1"/>
  <c r="Z69" i="1"/>
  <c r="Y69" i="1"/>
  <c r="X69" i="1"/>
  <c r="Z67" i="1"/>
  <c r="Y67" i="1"/>
  <c r="X67" i="1"/>
  <c r="Z64" i="1"/>
  <c r="Y64" i="1"/>
  <c r="X64" i="1"/>
  <c r="Z63" i="1"/>
  <c r="Y63" i="1"/>
  <c r="X63" i="1"/>
  <c r="Z61" i="1"/>
  <c r="Y61" i="1"/>
  <c r="X61" i="1"/>
  <c r="Z60" i="1"/>
  <c r="Y60" i="1"/>
  <c r="X60" i="1"/>
  <c r="Z59" i="1"/>
  <c r="Y59" i="1"/>
  <c r="X59" i="1"/>
  <c r="Z57" i="1"/>
  <c r="Y57" i="1"/>
  <c r="X57" i="1"/>
  <c r="Z56" i="1"/>
  <c r="Y56" i="1"/>
  <c r="X56" i="1"/>
  <c r="Z55" i="1"/>
  <c r="Y55" i="1"/>
  <c r="X55" i="1"/>
  <c r="Z53" i="1"/>
  <c r="Y53" i="1"/>
  <c r="X53" i="1"/>
  <c r="Z45" i="1"/>
  <c r="Y45" i="1"/>
  <c r="X45" i="1"/>
  <c r="Z44" i="1"/>
  <c r="Y44" i="1"/>
  <c r="X44" i="1"/>
  <c r="Z43" i="1"/>
  <c r="Y43" i="1"/>
  <c r="X43" i="1"/>
  <c r="Z41" i="1"/>
  <c r="Y41" i="1"/>
  <c r="X41" i="1"/>
  <c r="Z40" i="1"/>
  <c r="Y40" i="1"/>
  <c r="X40" i="1"/>
  <c r="Z39" i="1"/>
  <c r="Y39" i="1"/>
  <c r="X39" i="1"/>
  <c r="Z38" i="1"/>
  <c r="Y38" i="1"/>
  <c r="X38" i="1"/>
  <c r="Z37" i="1"/>
  <c r="Y37" i="1"/>
  <c r="X37" i="1"/>
  <c r="Z36" i="1"/>
  <c r="Y36" i="1"/>
  <c r="X36" i="1"/>
  <c r="Z35" i="1"/>
  <c r="Y35" i="1"/>
  <c r="X35" i="1"/>
  <c r="Z34" i="1"/>
  <c r="Y34" i="1"/>
  <c r="X34" i="1"/>
  <c r="Z33" i="1"/>
  <c r="Y33" i="1"/>
  <c r="X33" i="1"/>
  <c r="Z32" i="1"/>
  <c r="Y32" i="1"/>
  <c r="X32" i="1"/>
  <c r="Z31" i="1"/>
  <c r="Y31" i="1"/>
  <c r="X31" i="1"/>
  <c r="Z30" i="1"/>
  <c r="Y30" i="1"/>
  <c r="X30" i="1"/>
  <c r="Z28" i="1"/>
  <c r="Y28" i="1"/>
  <c r="X28" i="1"/>
  <c r="Z27" i="1"/>
  <c r="Y27" i="1"/>
  <c r="X27" i="1"/>
  <c r="Z26" i="1"/>
  <c r="Y26" i="1"/>
  <c r="X26" i="1"/>
  <c r="Z25" i="1"/>
  <c r="Y25" i="1"/>
  <c r="X25" i="1"/>
  <c r="Z24" i="1"/>
  <c r="Y24" i="1"/>
  <c r="X24" i="1"/>
  <c r="Z23" i="1"/>
  <c r="Y23" i="1"/>
  <c r="X23" i="1"/>
  <c r="Z22" i="1"/>
  <c r="Y22" i="1"/>
  <c r="X22" i="1"/>
  <c r="Z21" i="1"/>
  <c r="Y21" i="1"/>
  <c r="X21" i="1"/>
  <c r="Z20" i="1"/>
  <c r="Y20" i="1"/>
  <c r="X20" i="1"/>
  <c r="Z19" i="1"/>
  <c r="Y19" i="1"/>
  <c r="X19" i="1"/>
  <c r="Z18" i="1"/>
  <c r="Y18" i="1"/>
  <c r="X18" i="1"/>
  <c r="H9" i="3" l="1"/>
  <c r="J325" i="1" l="1"/>
  <c r="J326" i="1"/>
  <c r="J327" i="1"/>
  <c r="J328" i="1"/>
  <c r="J329" i="1"/>
  <c r="J330" i="1"/>
  <c r="J331" i="1"/>
  <c r="J332" i="1"/>
  <c r="J333" i="1"/>
  <c r="M391" i="1" l="1"/>
  <c r="L391" i="1"/>
  <c r="K391" i="1"/>
  <c r="X391" i="1" s="1"/>
  <c r="N391" i="1" l="1"/>
  <c r="N328" i="1"/>
  <c r="Q329" i="1"/>
  <c r="P329" i="1"/>
  <c r="T329" i="1" s="1"/>
  <c r="O329" i="1"/>
  <c r="S329" i="1" s="1"/>
  <c r="N329" i="1"/>
  <c r="N326" i="1"/>
  <c r="Q327" i="1"/>
  <c r="P327" i="1"/>
  <c r="T327" i="1" s="1"/>
  <c r="O327" i="1"/>
  <c r="N327" i="1"/>
  <c r="N325" i="1"/>
  <c r="R329" i="1" l="1"/>
  <c r="R327" i="1"/>
  <c r="P325" i="1"/>
  <c r="O325" i="1"/>
  <c r="N284" i="1"/>
  <c r="Q289" i="1"/>
  <c r="U289" i="1" s="1"/>
  <c r="S325" i="1" l="1"/>
  <c r="N289" i="1"/>
  <c r="M273" i="1"/>
  <c r="L273" i="1"/>
  <c r="Q285" i="1"/>
  <c r="P285" i="1"/>
  <c r="T285" i="1" s="1"/>
  <c r="O285" i="1"/>
  <c r="N285" i="1"/>
  <c r="O283" i="1"/>
  <c r="Q282" i="1"/>
  <c r="P282" i="1"/>
  <c r="N279" i="1"/>
  <c r="N283" i="1"/>
  <c r="O279" i="1"/>
  <c r="Q279" i="1"/>
  <c r="P279" i="1"/>
  <c r="O119" i="1"/>
  <c r="S119" i="1" s="1"/>
  <c r="O120" i="1"/>
  <c r="R279" i="1" l="1"/>
  <c r="N120" i="1"/>
  <c r="R285" i="1"/>
  <c r="S120" i="1"/>
  <c r="O63" i="1" l="1"/>
  <c r="S63" i="1" s="1"/>
  <c r="M62" i="1"/>
  <c r="L62" i="1"/>
  <c r="K62" i="1"/>
  <c r="M483" i="1" l="1"/>
  <c r="L483" i="1"/>
  <c r="K483" i="1"/>
  <c r="Z483" i="1"/>
  <c r="Y483" i="1"/>
  <c r="X483" i="1" l="1"/>
  <c r="M573" i="1"/>
  <c r="L573" i="1"/>
  <c r="J573" i="1" l="1"/>
  <c r="O121" i="1"/>
  <c r="S121" i="1" l="1"/>
  <c r="K117" i="1"/>
  <c r="O118" i="1"/>
  <c r="S118" i="1" l="1"/>
  <c r="O282" i="1" l="1"/>
  <c r="R282" i="1" s="1"/>
  <c r="K573" i="1" l="1"/>
  <c r="K273" i="1" l="1"/>
  <c r="N281" i="1"/>
  <c r="N273" i="1" l="1"/>
  <c r="K324" i="1" l="1"/>
  <c r="K322" i="1" l="1"/>
  <c r="K323" i="1"/>
  <c r="J292" i="1" l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34" i="1"/>
  <c r="O243" i="1" l="1"/>
  <c r="O94" i="1" l="1"/>
  <c r="O95" i="1"/>
  <c r="O96" i="1"/>
  <c r="O97" i="1"/>
  <c r="Z631" i="1" l="1"/>
  <c r="Y631" i="1"/>
  <c r="X631" i="1" l="1"/>
  <c r="M631" i="1"/>
  <c r="L631" i="1"/>
  <c r="K631" i="1"/>
  <c r="K551" i="1" l="1"/>
  <c r="I12" i="3" l="1"/>
  <c r="I11" i="3" s="1"/>
  <c r="I9" i="3" s="1"/>
  <c r="P57" i="1" l="1"/>
  <c r="O57" i="1"/>
  <c r="P56" i="1"/>
  <c r="O56" i="1"/>
  <c r="P55" i="1"/>
  <c r="O55" i="1"/>
  <c r="Q61" i="1"/>
  <c r="P61" i="1"/>
  <c r="O61" i="1"/>
  <c r="Q60" i="1"/>
  <c r="P60" i="1"/>
  <c r="O60" i="1"/>
  <c r="Q59" i="1"/>
  <c r="P59" i="1"/>
  <c r="O59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5" i="1"/>
  <c r="J634" i="1"/>
  <c r="J633" i="1"/>
  <c r="J632" i="1"/>
  <c r="J631" i="1"/>
  <c r="J630" i="1"/>
  <c r="J629" i="1"/>
  <c r="J628" i="1"/>
  <c r="J626" i="1"/>
  <c r="J625" i="1"/>
  <c r="J622" i="1"/>
  <c r="J620" i="1"/>
  <c r="J618" i="1"/>
  <c r="J617" i="1"/>
  <c r="J616" i="1"/>
  <c r="J614" i="1"/>
  <c r="J611" i="1"/>
  <c r="J610" i="1"/>
  <c r="J609" i="1"/>
  <c r="J608" i="1"/>
  <c r="J606" i="1"/>
  <c r="J605" i="1"/>
  <c r="J602" i="1"/>
  <c r="J600" i="1"/>
  <c r="J598" i="1"/>
  <c r="J597" i="1"/>
  <c r="J595" i="1"/>
  <c r="J593" i="1"/>
  <c r="J592" i="1"/>
  <c r="J591" i="1"/>
  <c r="J590" i="1"/>
  <c r="J588" i="1"/>
  <c r="J585" i="1"/>
  <c r="J584" i="1"/>
  <c r="J583" i="1"/>
  <c r="J582" i="1"/>
  <c r="J579" i="1"/>
  <c r="J578" i="1"/>
  <c r="J575" i="1"/>
  <c r="J574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48" i="1"/>
  <c r="J547" i="1"/>
  <c r="J546" i="1"/>
  <c r="J545" i="1"/>
  <c r="J543" i="1"/>
  <c r="J542" i="1"/>
  <c r="J540" i="1"/>
  <c r="J539" i="1"/>
  <c r="J536" i="1"/>
  <c r="J534" i="1"/>
  <c r="J532" i="1"/>
  <c r="J531" i="1"/>
  <c r="J530" i="1"/>
  <c r="J529" i="1"/>
  <c r="J528" i="1"/>
  <c r="J526" i="1"/>
  <c r="J523" i="1"/>
  <c r="J522" i="1"/>
  <c r="J521" i="1"/>
  <c r="J520" i="1"/>
  <c r="J519" i="1"/>
  <c r="J518" i="1"/>
  <c r="J517" i="1"/>
  <c r="J515" i="1"/>
  <c r="J512" i="1"/>
  <c r="J510" i="1"/>
  <c r="J508" i="1"/>
  <c r="J507" i="1"/>
  <c r="J505" i="1"/>
  <c r="J503" i="1"/>
  <c r="J502" i="1"/>
  <c r="J501" i="1"/>
  <c r="J500" i="1"/>
  <c r="J499" i="1"/>
  <c r="J498" i="1"/>
  <c r="J497" i="1"/>
  <c r="J495" i="1"/>
  <c r="J492" i="1"/>
  <c r="J491" i="1"/>
  <c r="J488" i="1"/>
  <c r="J485" i="1"/>
  <c r="J484" i="1"/>
  <c r="J479" i="1"/>
  <c r="J478" i="1"/>
  <c r="J477" i="1"/>
  <c r="J476" i="1"/>
  <c r="J475" i="1"/>
  <c r="J474" i="1"/>
  <c r="J473" i="1"/>
  <c r="J472" i="1"/>
  <c r="J470" i="1"/>
  <c r="J469" i="1"/>
  <c r="J468" i="1"/>
  <c r="J467" i="1"/>
  <c r="J466" i="1"/>
  <c r="J465" i="1"/>
  <c r="J464" i="1"/>
  <c r="J463" i="1"/>
  <c r="J461" i="1"/>
  <c r="J457" i="1"/>
  <c r="J455" i="1"/>
  <c r="J453" i="1"/>
  <c r="J451" i="1"/>
  <c r="J450" i="1"/>
  <c r="J447" i="1"/>
  <c r="J446" i="1"/>
  <c r="J444" i="1"/>
  <c r="J442" i="1"/>
  <c r="J441" i="1"/>
  <c r="J440" i="1"/>
  <c r="J439" i="1"/>
  <c r="J437" i="1"/>
  <c r="J434" i="1"/>
  <c r="J433" i="1"/>
  <c r="J432" i="1"/>
  <c r="J431" i="1"/>
  <c r="J430" i="1"/>
  <c r="J429" i="1"/>
  <c r="J426" i="1"/>
  <c r="J424" i="1"/>
  <c r="J422" i="1"/>
  <c r="J421" i="1"/>
  <c r="J418" i="1"/>
  <c r="J416" i="1"/>
  <c r="J415" i="1"/>
  <c r="J414" i="1"/>
  <c r="J413" i="1"/>
  <c r="J412" i="1"/>
  <c r="J411" i="1"/>
  <c r="J410" i="1"/>
  <c r="J409" i="1"/>
  <c r="J407" i="1"/>
  <c r="J406" i="1"/>
  <c r="J403" i="1"/>
  <c r="J402" i="1"/>
  <c r="J399" i="1"/>
  <c r="J398" i="1"/>
  <c r="J397" i="1"/>
  <c r="J396" i="1"/>
  <c r="J393" i="1"/>
  <c r="J392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21" i="1"/>
  <c r="J320" i="1"/>
  <c r="J319" i="1"/>
  <c r="J318" i="1"/>
  <c r="J317" i="1"/>
  <c r="J316" i="1"/>
  <c r="J311" i="1"/>
  <c r="J310" i="1"/>
  <c r="J308" i="1"/>
  <c r="J307" i="1"/>
  <c r="J306" i="1"/>
  <c r="J305" i="1"/>
  <c r="J304" i="1"/>
  <c r="J303" i="1"/>
  <c r="J302" i="1"/>
  <c r="J301" i="1"/>
  <c r="J299" i="1"/>
  <c r="J298" i="1"/>
  <c r="J297" i="1"/>
  <c r="J296" i="1"/>
  <c r="J295" i="1"/>
  <c r="J294" i="1"/>
  <c r="J269" i="1"/>
  <c r="J268" i="1"/>
  <c r="J267" i="1"/>
  <c r="J266" i="1"/>
  <c r="J265" i="1"/>
  <c r="J264" i="1"/>
  <c r="J261" i="1"/>
  <c r="J260" i="1"/>
  <c r="J259" i="1"/>
  <c r="J258" i="1"/>
  <c r="J257" i="1"/>
  <c r="J256" i="1"/>
  <c r="J253" i="1"/>
  <c r="J252" i="1"/>
  <c r="J251" i="1"/>
  <c r="J250" i="1"/>
  <c r="J249" i="1"/>
  <c r="J248" i="1"/>
  <c r="J244" i="1"/>
  <c r="J243" i="1"/>
  <c r="J242" i="1"/>
  <c r="J241" i="1"/>
  <c r="J240" i="1"/>
  <c r="J239" i="1"/>
  <c r="J237" i="1"/>
  <c r="J236" i="1"/>
  <c r="J235" i="1"/>
  <c r="J233" i="1"/>
  <c r="J232" i="1"/>
  <c r="J228" i="1"/>
  <c r="J227" i="1"/>
  <c r="J226" i="1"/>
  <c r="J225" i="1"/>
  <c r="J224" i="1"/>
  <c r="J223" i="1"/>
  <c r="J222" i="1"/>
  <c r="J217" i="1"/>
  <c r="J216" i="1"/>
  <c r="J215" i="1"/>
  <c r="J214" i="1"/>
  <c r="J213" i="1"/>
  <c r="J211" i="1"/>
  <c r="J210" i="1"/>
  <c r="J209" i="1"/>
  <c r="J208" i="1"/>
  <c r="J207" i="1"/>
  <c r="J206" i="1"/>
  <c r="J204" i="1"/>
  <c r="J203" i="1"/>
  <c r="J201" i="1"/>
  <c r="J200" i="1"/>
  <c r="J199" i="1"/>
  <c r="J198" i="1"/>
  <c r="J196" i="1"/>
  <c r="J195" i="1"/>
  <c r="J194" i="1"/>
  <c r="J193" i="1"/>
  <c r="J192" i="1"/>
  <c r="J191" i="1"/>
  <c r="J190" i="1"/>
  <c r="J189" i="1"/>
  <c r="J188" i="1"/>
  <c r="J184" i="1"/>
  <c r="J183" i="1"/>
  <c r="J182" i="1"/>
  <c r="J179" i="1"/>
  <c r="J178" i="1"/>
  <c r="J177" i="1"/>
  <c r="J175" i="1"/>
  <c r="J174" i="1"/>
  <c r="J173" i="1"/>
  <c r="J172" i="1"/>
  <c r="J170" i="1"/>
  <c r="J169" i="1"/>
  <c r="J168" i="1"/>
  <c r="J165" i="1"/>
  <c r="J164" i="1"/>
  <c r="J163" i="1"/>
  <c r="J161" i="1"/>
  <c r="J160" i="1"/>
  <c r="J159" i="1"/>
  <c r="J157" i="1"/>
  <c r="J156" i="1"/>
  <c r="J154" i="1"/>
  <c r="J153" i="1"/>
  <c r="J152" i="1"/>
  <c r="J151" i="1"/>
  <c r="J147" i="1"/>
  <c r="J146" i="1"/>
  <c r="J145" i="1"/>
  <c r="J144" i="1"/>
  <c r="J142" i="1"/>
  <c r="J140" i="1"/>
  <c r="J139" i="1"/>
  <c r="J138" i="1"/>
  <c r="J135" i="1"/>
  <c r="J134" i="1"/>
  <c r="J133" i="1"/>
  <c r="J132" i="1"/>
  <c r="J131" i="1"/>
  <c r="J130" i="1"/>
  <c r="J129" i="1"/>
  <c r="J128" i="1"/>
  <c r="J127" i="1"/>
  <c r="J126" i="1"/>
  <c r="J124" i="1"/>
  <c r="J123" i="1"/>
  <c r="J121" i="1"/>
  <c r="J120" i="1"/>
  <c r="J119" i="1"/>
  <c r="J118" i="1"/>
  <c r="J116" i="1"/>
  <c r="J113" i="1"/>
  <c r="J112" i="1"/>
  <c r="J111" i="1"/>
  <c r="J110" i="1"/>
  <c r="J109" i="1"/>
  <c r="J108" i="1"/>
  <c r="J107" i="1"/>
  <c r="J106" i="1"/>
  <c r="J105" i="1"/>
  <c r="J104" i="1"/>
  <c r="J102" i="1"/>
  <c r="J100" i="1"/>
  <c r="J97" i="1"/>
  <c r="J96" i="1"/>
  <c r="J95" i="1"/>
  <c r="J94" i="1"/>
  <c r="J92" i="1"/>
  <c r="J90" i="1"/>
  <c r="J89" i="1"/>
  <c r="J87" i="1"/>
  <c r="J85" i="1"/>
  <c r="J84" i="1"/>
  <c r="J83" i="1"/>
  <c r="J82" i="1"/>
  <c r="J81" i="1"/>
  <c r="J80" i="1"/>
  <c r="J79" i="1"/>
  <c r="J78" i="1"/>
  <c r="J76" i="1"/>
  <c r="J74" i="1"/>
  <c r="J72" i="1"/>
  <c r="J71" i="1"/>
  <c r="J70" i="1"/>
  <c r="J69" i="1"/>
  <c r="J67" i="1"/>
  <c r="J64" i="1"/>
  <c r="J63" i="1"/>
  <c r="J61" i="1"/>
  <c r="J60" i="1"/>
  <c r="J59" i="1"/>
  <c r="J57" i="1"/>
  <c r="J56" i="1"/>
  <c r="J55" i="1"/>
  <c r="J53" i="1"/>
  <c r="J45" i="1"/>
  <c r="J44" i="1"/>
  <c r="J43" i="1"/>
  <c r="J41" i="1"/>
  <c r="J40" i="1"/>
  <c r="J39" i="1"/>
  <c r="J38" i="1"/>
  <c r="J37" i="1"/>
  <c r="J36" i="1"/>
  <c r="J35" i="1"/>
  <c r="J34" i="1"/>
  <c r="J33" i="1"/>
  <c r="J32" i="1"/>
  <c r="J31" i="1"/>
  <c r="J30" i="1"/>
  <c r="J28" i="1"/>
  <c r="J27" i="1"/>
  <c r="J26" i="1"/>
  <c r="J25" i="1"/>
  <c r="J24" i="1"/>
  <c r="J23" i="1"/>
  <c r="J22" i="1"/>
  <c r="J21" i="1"/>
  <c r="J20" i="1"/>
  <c r="J19" i="1"/>
  <c r="J18" i="1"/>
  <c r="K42" i="1"/>
  <c r="K638" i="1" l="1"/>
  <c r="K527" i="1"/>
  <c r="J456" i="1"/>
  <c r="K417" i="1"/>
  <c r="Z417" i="1"/>
  <c r="Y417" i="1"/>
  <c r="J419" i="1"/>
  <c r="K405" i="1"/>
  <c r="M93" i="1"/>
  <c r="L93" i="1"/>
  <c r="K93" i="1"/>
  <c r="M68" i="1"/>
  <c r="L68" i="1"/>
  <c r="K68" i="1"/>
  <c r="X638" i="1" l="1"/>
  <c r="X93" i="1"/>
  <c r="Y68" i="1"/>
  <c r="X68" i="1"/>
  <c r="Z93" i="1"/>
  <c r="Y93" i="1"/>
  <c r="Z68" i="1"/>
  <c r="J638" i="1"/>
  <c r="J405" i="1"/>
  <c r="J68" i="1"/>
  <c r="X417" i="1"/>
  <c r="J93" i="1"/>
  <c r="M408" i="1"/>
  <c r="L408" i="1"/>
  <c r="K408" i="1"/>
  <c r="K506" i="1"/>
  <c r="Y408" i="1" l="1"/>
  <c r="Z408" i="1"/>
  <c r="X408" i="1"/>
  <c r="J417" i="1"/>
  <c r="J408" i="1"/>
  <c r="K544" i="1"/>
  <c r="X544" i="1" s="1"/>
  <c r="M471" i="1"/>
  <c r="L471" i="1"/>
  <c r="K471" i="1"/>
  <c r="X471" i="1" l="1"/>
  <c r="Y471" i="1"/>
  <c r="Z471" i="1"/>
  <c r="J471" i="1"/>
  <c r="M420" i="1"/>
  <c r="L420" i="1"/>
  <c r="K420" i="1"/>
  <c r="M395" i="1"/>
  <c r="L395" i="1"/>
  <c r="K395" i="1"/>
  <c r="N420" i="1" l="1"/>
  <c r="J395" i="1"/>
  <c r="J420" i="1"/>
  <c r="M417" i="1"/>
  <c r="L417" i="1"/>
  <c r="C42" i="1" l="1"/>
  <c r="C17" i="1"/>
  <c r="E315" i="1" l="1"/>
  <c r="E337" i="1"/>
  <c r="E336" i="1" s="1"/>
  <c r="E354" i="1"/>
  <c r="E353" i="1" s="1"/>
  <c r="E401" i="1"/>
  <c r="E400" i="1" s="1"/>
  <c r="E395" i="1"/>
  <c r="E394" i="1" s="1"/>
  <c r="E391" i="1"/>
  <c r="E390" i="1" s="1"/>
  <c r="E420" i="1"/>
  <c r="E417" i="1"/>
  <c r="E408" i="1"/>
  <c r="E405" i="1"/>
  <c r="E438" i="1"/>
  <c r="E436" i="1"/>
  <c r="E428" i="1"/>
  <c r="E427" i="1" s="1"/>
  <c r="E425" i="1"/>
  <c r="E423" i="1"/>
  <c r="E454" i="1"/>
  <c r="E452" i="1"/>
  <c r="E449" i="1"/>
  <c r="E445" i="1"/>
  <c r="E443" i="1"/>
  <c r="E471" i="1"/>
  <c r="E460" i="1"/>
  <c r="E459" i="1" s="1"/>
  <c r="E458" i="1" s="1"/>
  <c r="E494" i="1"/>
  <c r="E490" i="1"/>
  <c r="E489" i="1" s="1"/>
  <c r="E487" i="1"/>
  <c r="E486" i="1" s="1"/>
  <c r="E483" i="1"/>
  <c r="E482" i="1" s="1"/>
  <c r="E511" i="1"/>
  <c r="E509" i="1"/>
  <c r="E506" i="1"/>
  <c r="E504" i="1"/>
  <c r="E496" i="1"/>
  <c r="E527" i="1"/>
  <c r="E525" i="1"/>
  <c r="E516" i="1"/>
  <c r="E514" i="1"/>
  <c r="E544" i="1"/>
  <c r="E541" i="1"/>
  <c r="E538" i="1"/>
  <c r="E535" i="1"/>
  <c r="E533" i="1"/>
  <c r="E551" i="1"/>
  <c r="E550" i="1" s="1"/>
  <c r="E549" i="1" s="1"/>
  <c r="E581" i="1"/>
  <c r="E580" i="1" s="1"/>
  <c r="E577" i="1"/>
  <c r="E576" i="1" s="1"/>
  <c r="E573" i="1"/>
  <c r="E572" i="1" s="1"/>
  <c r="E604" i="1"/>
  <c r="E601" i="1"/>
  <c r="E599" i="1"/>
  <c r="E596" i="1"/>
  <c r="E594" i="1"/>
  <c r="E589" i="1"/>
  <c r="E587" i="1"/>
  <c r="E621" i="1"/>
  <c r="E619" i="1"/>
  <c r="E615" i="1"/>
  <c r="E613" i="1"/>
  <c r="E607" i="1"/>
  <c r="E603" i="1" s="1"/>
  <c r="E627" i="1"/>
  <c r="E624" i="1"/>
  <c r="D624" i="1"/>
  <c r="E631" i="1"/>
  <c r="E638" i="1"/>
  <c r="E637" i="1" s="1"/>
  <c r="E636" i="1" s="1"/>
  <c r="S61" i="1"/>
  <c r="S60" i="1"/>
  <c r="S59" i="1"/>
  <c r="S57" i="1"/>
  <c r="S56" i="1"/>
  <c r="S55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5" i="1"/>
  <c r="F634" i="1"/>
  <c r="F633" i="1"/>
  <c r="F632" i="1"/>
  <c r="F630" i="1"/>
  <c r="F629" i="1"/>
  <c r="F628" i="1"/>
  <c r="F626" i="1"/>
  <c r="F625" i="1"/>
  <c r="F622" i="1"/>
  <c r="F620" i="1"/>
  <c r="F618" i="1"/>
  <c r="F617" i="1"/>
  <c r="F616" i="1"/>
  <c r="F614" i="1"/>
  <c r="F611" i="1"/>
  <c r="F610" i="1"/>
  <c r="F609" i="1"/>
  <c r="F608" i="1"/>
  <c r="F606" i="1"/>
  <c r="F605" i="1"/>
  <c r="F602" i="1"/>
  <c r="F600" i="1"/>
  <c r="F598" i="1"/>
  <c r="F597" i="1"/>
  <c r="F595" i="1"/>
  <c r="F593" i="1"/>
  <c r="F592" i="1"/>
  <c r="F591" i="1"/>
  <c r="F590" i="1"/>
  <c r="F588" i="1"/>
  <c r="F585" i="1"/>
  <c r="F584" i="1"/>
  <c r="F583" i="1"/>
  <c r="F582" i="1"/>
  <c r="F579" i="1"/>
  <c r="F578" i="1"/>
  <c r="F575" i="1"/>
  <c r="F574" i="1"/>
  <c r="F567" i="1"/>
  <c r="F566" i="1"/>
  <c r="F565" i="1"/>
  <c r="F562" i="1"/>
  <c r="F559" i="1"/>
  <c r="F556" i="1"/>
  <c r="F555" i="1"/>
  <c r="F554" i="1"/>
  <c r="F553" i="1"/>
  <c r="F552" i="1"/>
  <c r="F548" i="1"/>
  <c r="F547" i="1"/>
  <c r="F546" i="1"/>
  <c r="F545" i="1"/>
  <c r="F543" i="1"/>
  <c r="F542" i="1"/>
  <c r="F540" i="1"/>
  <c r="F539" i="1"/>
  <c r="F536" i="1"/>
  <c r="F534" i="1"/>
  <c r="F532" i="1"/>
  <c r="F531" i="1"/>
  <c r="F530" i="1"/>
  <c r="F529" i="1"/>
  <c r="F528" i="1"/>
  <c r="F526" i="1"/>
  <c r="F523" i="1"/>
  <c r="F522" i="1"/>
  <c r="F521" i="1"/>
  <c r="F520" i="1"/>
  <c r="F519" i="1"/>
  <c r="F518" i="1"/>
  <c r="F517" i="1"/>
  <c r="F515" i="1"/>
  <c r="F512" i="1"/>
  <c r="F510" i="1"/>
  <c r="F508" i="1"/>
  <c r="F507" i="1"/>
  <c r="F505" i="1"/>
  <c r="F503" i="1"/>
  <c r="F502" i="1"/>
  <c r="F501" i="1"/>
  <c r="F500" i="1"/>
  <c r="F499" i="1"/>
  <c r="F498" i="1"/>
  <c r="F497" i="1"/>
  <c r="F495" i="1"/>
  <c r="F492" i="1"/>
  <c r="F491" i="1"/>
  <c r="F488" i="1"/>
  <c r="F485" i="1"/>
  <c r="F484" i="1"/>
  <c r="F479" i="1"/>
  <c r="F478" i="1"/>
  <c r="F477" i="1"/>
  <c r="F476" i="1"/>
  <c r="F475" i="1"/>
  <c r="F474" i="1"/>
  <c r="F473" i="1"/>
  <c r="F472" i="1"/>
  <c r="F470" i="1"/>
  <c r="F469" i="1"/>
  <c r="F468" i="1"/>
  <c r="F467" i="1"/>
  <c r="F466" i="1"/>
  <c r="F465" i="1"/>
  <c r="F464" i="1"/>
  <c r="F463" i="1"/>
  <c r="F461" i="1"/>
  <c r="F457" i="1"/>
  <c r="F456" i="1"/>
  <c r="F455" i="1"/>
  <c r="F453" i="1"/>
  <c r="F451" i="1"/>
  <c r="F450" i="1"/>
  <c r="F447" i="1"/>
  <c r="F446" i="1"/>
  <c r="F444" i="1"/>
  <c r="F442" i="1"/>
  <c r="F441" i="1"/>
  <c r="F440" i="1"/>
  <c r="F439" i="1"/>
  <c r="F437" i="1"/>
  <c r="F434" i="1"/>
  <c r="F433" i="1"/>
  <c r="F432" i="1"/>
  <c r="F431" i="1"/>
  <c r="F430" i="1"/>
  <c r="F429" i="1"/>
  <c r="F426" i="1"/>
  <c r="F424" i="1"/>
  <c r="F422" i="1"/>
  <c r="F421" i="1"/>
  <c r="F419" i="1"/>
  <c r="F418" i="1"/>
  <c r="F416" i="1"/>
  <c r="F415" i="1"/>
  <c r="F414" i="1"/>
  <c r="F413" i="1"/>
  <c r="F412" i="1"/>
  <c r="F411" i="1"/>
  <c r="F410" i="1"/>
  <c r="F409" i="1"/>
  <c r="F407" i="1"/>
  <c r="F406" i="1"/>
  <c r="F403" i="1"/>
  <c r="F402" i="1"/>
  <c r="F399" i="1"/>
  <c r="F398" i="1"/>
  <c r="F397" i="1"/>
  <c r="F396" i="1"/>
  <c r="F393" i="1"/>
  <c r="F392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3" i="1"/>
  <c r="F332" i="1"/>
  <c r="F331" i="1"/>
  <c r="F330" i="1"/>
  <c r="F329" i="1"/>
  <c r="F328" i="1"/>
  <c r="F326" i="1"/>
  <c r="F325" i="1"/>
  <c r="F321" i="1"/>
  <c r="F320" i="1"/>
  <c r="F319" i="1"/>
  <c r="F318" i="1"/>
  <c r="F317" i="1"/>
  <c r="F316" i="1"/>
  <c r="F311" i="1"/>
  <c r="F307" i="1"/>
  <c r="F306" i="1"/>
  <c r="F305" i="1"/>
  <c r="F302" i="1"/>
  <c r="F299" i="1"/>
  <c r="F298" i="1"/>
  <c r="F296" i="1"/>
  <c r="F295" i="1"/>
  <c r="F294" i="1"/>
  <c r="F292" i="1"/>
  <c r="F291" i="1"/>
  <c r="F287" i="1"/>
  <c r="F285" i="1"/>
  <c r="F284" i="1"/>
  <c r="F280" i="1"/>
  <c r="F277" i="1"/>
  <c r="F274" i="1"/>
  <c r="F269" i="1"/>
  <c r="F268" i="1"/>
  <c r="F267" i="1"/>
  <c r="F266" i="1"/>
  <c r="F265" i="1"/>
  <c r="F264" i="1"/>
  <c r="F261" i="1"/>
  <c r="F260" i="1"/>
  <c r="F259" i="1"/>
  <c r="F258" i="1"/>
  <c r="F257" i="1"/>
  <c r="F256" i="1"/>
  <c r="F253" i="1"/>
  <c r="F252" i="1"/>
  <c r="F251" i="1"/>
  <c r="F250" i="1"/>
  <c r="F249" i="1"/>
  <c r="F248" i="1"/>
  <c r="F244" i="1"/>
  <c r="F243" i="1"/>
  <c r="F242" i="1"/>
  <c r="F241" i="1"/>
  <c r="F240" i="1"/>
  <c r="F239" i="1"/>
  <c r="F237" i="1"/>
  <c r="F236" i="1"/>
  <c r="F235" i="1"/>
  <c r="F234" i="1"/>
  <c r="F233" i="1"/>
  <c r="F232" i="1"/>
  <c r="F228" i="1"/>
  <c r="F227" i="1"/>
  <c r="F226" i="1"/>
  <c r="F225" i="1"/>
  <c r="F224" i="1"/>
  <c r="F223" i="1"/>
  <c r="F222" i="1"/>
  <c r="F217" i="1"/>
  <c r="F216" i="1"/>
  <c r="F215" i="1"/>
  <c r="F214" i="1"/>
  <c r="F213" i="1"/>
  <c r="F211" i="1"/>
  <c r="F210" i="1"/>
  <c r="F209" i="1"/>
  <c r="F208" i="1"/>
  <c r="F207" i="1"/>
  <c r="F206" i="1"/>
  <c r="F204" i="1"/>
  <c r="F203" i="1"/>
  <c r="F201" i="1"/>
  <c r="F200" i="1"/>
  <c r="F199" i="1"/>
  <c r="F198" i="1"/>
  <c r="F196" i="1"/>
  <c r="F195" i="1"/>
  <c r="F194" i="1"/>
  <c r="F193" i="1"/>
  <c r="F192" i="1"/>
  <c r="F191" i="1"/>
  <c r="F190" i="1"/>
  <c r="F189" i="1"/>
  <c r="F188" i="1"/>
  <c r="F184" i="1"/>
  <c r="F183" i="1"/>
  <c r="F182" i="1"/>
  <c r="F179" i="1"/>
  <c r="F178" i="1"/>
  <c r="F177" i="1"/>
  <c r="F175" i="1"/>
  <c r="F174" i="1"/>
  <c r="F173" i="1"/>
  <c r="F172" i="1"/>
  <c r="F170" i="1"/>
  <c r="F169" i="1"/>
  <c r="F168" i="1"/>
  <c r="F165" i="1"/>
  <c r="F164" i="1"/>
  <c r="F163" i="1"/>
  <c r="F161" i="1"/>
  <c r="F160" i="1"/>
  <c r="F159" i="1"/>
  <c r="F157" i="1"/>
  <c r="F156" i="1"/>
  <c r="F154" i="1"/>
  <c r="F153" i="1"/>
  <c r="F152" i="1"/>
  <c r="F151" i="1"/>
  <c r="F147" i="1"/>
  <c r="F146" i="1"/>
  <c r="F145" i="1"/>
  <c r="F144" i="1"/>
  <c r="F142" i="1"/>
  <c r="F140" i="1"/>
  <c r="F139" i="1"/>
  <c r="F138" i="1"/>
  <c r="F135" i="1"/>
  <c r="F134" i="1"/>
  <c r="F133" i="1"/>
  <c r="F132" i="1"/>
  <c r="F131" i="1"/>
  <c r="F130" i="1"/>
  <c r="F129" i="1"/>
  <c r="F128" i="1"/>
  <c r="F127" i="1"/>
  <c r="F126" i="1"/>
  <c r="F124" i="1"/>
  <c r="F123" i="1"/>
  <c r="F121" i="1"/>
  <c r="F120" i="1"/>
  <c r="F119" i="1"/>
  <c r="F118" i="1"/>
  <c r="F116" i="1"/>
  <c r="F113" i="1"/>
  <c r="F112" i="1"/>
  <c r="F111" i="1"/>
  <c r="F110" i="1"/>
  <c r="F109" i="1"/>
  <c r="F108" i="1"/>
  <c r="F107" i="1"/>
  <c r="F106" i="1"/>
  <c r="F105" i="1"/>
  <c r="F104" i="1"/>
  <c r="F102" i="1"/>
  <c r="F100" i="1"/>
  <c r="F97" i="1"/>
  <c r="F96" i="1"/>
  <c r="F95" i="1"/>
  <c r="F94" i="1"/>
  <c r="F92" i="1"/>
  <c r="F90" i="1"/>
  <c r="F89" i="1"/>
  <c r="F87" i="1"/>
  <c r="F85" i="1"/>
  <c r="F84" i="1"/>
  <c r="F83" i="1"/>
  <c r="F82" i="1"/>
  <c r="F81" i="1"/>
  <c r="F80" i="1"/>
  <c r="F79" i="1"/>
  <c r="F78" i="1"/>
  <c r="F76" i="1"/>
  <c r="F74" i="1"/>
  <c r="F72" i="1"/>
  <c r="F71" i="1"/>
  <c r="F70" i="1"/>
  <c r="F69" i="1"/>
  <c r="F67" i="1"/>
  <c r="F64" i="1"/>
  <c r="F61" i="1"/>
  <c r="F60" i="1"/>
  <c r="F59" i="1"/>
  <c r="F57" i="1"/>
  <c r="F56" i="1"/>
  <c r="F55" i="1"/>
  <c r="F53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8" i="1"/>
  <c r="F27" i="1"/>
  <c r="F26" i="1"/>
  <c r="F25" i="1"/>
  <c r="F24" i="1"/>
  <c r="F23" i="1"/>
  <c r="F22" i="1"/>
  <c r="F21" i="1"/>
  <c r="W76" i="1" l="1"/>
  <c r="V76" i="1"/>
  <c r="V285" i="1"/>
  <c r="W285" i="1"/>
  <c r="W329" i="1"/>
  <c r="V329" i="1"/>
  <c r="E448" i="1"/>
  <c r="E493" i="1"/>
  <c r="E623" i="1"/>
  <c r="E537" i="1"/>
  <c r="E612" i="1"/>
  <c r="E404" i="1"/>
  <c r="E586" i="1"/>
  <c r="E513" i="1"/>
  <c r="E524" i="1"/>
  <c r="E435" i="1"/>
  <c r="E335" i="1"/>
  <c r="E334" i="1" s="1"/>
  <c r="Q663" i="1"/>
  <c r="P663" i="1"/>
  <c r="O663" i="1"/>
  <c r="Q662" i="1"/>
  <c r="P662" i="1"/>
  <c r="O662" i="1"/>
  <c r="Q661" i="1"/>
  <c r="P661" i="1"/>
  <c r="O661" i="1"/>
  <c r="Q660" i="1"/>
  <c r="P660" i="1"/>
  <c r="O660" i="1"/>
  <c r="Q659" i="1"/>
  <c r="P659" i="1"/>
  <c r="O659" i="1"/>
  <c r="Q658" i="1"/>
  <c r="P658" i="1"/>
  <c r="O658" i="1"/>
  <c r="Q657" i="1"/>
  <c r="P657" i="1"/>
  <c r="O657" i="1"/>
  <c r="Q656" i="1"/>
  <c r="P656" i="1"/>
  <c r="O656" i="1"/>
  <c r="Q655" i="1"/>
  <c r="P655" i="1"/>
  <c r="O655" i="1"/>
  <c r="Q654" i="1"/>
  <c r="P654" i="1"/>
  <c r="O654" i="1"/>
  <c r="Q653" i="1"/>
  <c r="P653" i="1"/>
  <c r="O653" i="1"/>
  <c r="Q652" i="1"/>
  <c r="P652" i="1"/>
  <c r="O652" i="1"/>
  <c r="Q651" i="1"/>
  <c r="P651" i="1"/>
  <c r="O651" i="1"/>
  <c r="Q650" i="1"/>
  <c r="P650" i="1"/>
  <c r="O650" i="1"/>
  <c r="Q649" i="1"/>
  <c r="P649" i="1"/>
  <c r="O649" i="1"/>
  <c r="Q648" i="1"/>
  <c r="P648" i="1"/>
  <c r="O648" i="1"/>
  <c r="Q647" i="1"/>
  <c r="P647" i="1"/>
  <c r="O647" i="1"/>
  <c r="Q646" i="1"/>
  <c r="P646" i="1"/>
  <c r="O646" i="1"/>
  <c r="Q645" i="1"/>
  <c r="P645" i="1"/>
  <c r="O645" i="1"/>
  <c r="Q644" i="1"/>
  <c r="P644" i="1"/>
  <c r="O644" i="1"/>
  <c r="Q643" i="1"/>
  <c r="P643" i="1"/>
  <c r="O643" i="1"/>
  <c r="Q642" i="1"/>
  <c r="P642" i="1"/>
  <c r="O642" i="1"/>
  <c r="Q641" i="1"/>
  <c r="P641" i="1"/>
  <c r="O641" i="1"/>
  <c r="Q640" i="1"/>
  <c r="P640" i="1"/>
  <c r="O640" i="1"/>
  <c r="Q639" i="1"/>
  <c r="P639" i="1"/>
  <c r="O639" i="1"/>
  <c r="Q635" i="1"/>
  <c r="P635" i="1"/>
  <c r="O635" i="1"/>
  <c r="Q634" i="1"/>
  <c r="P634" i="1"/>
  <c r="O634" i="1"/>
  <c r="Q633" i="1"/>
  <c r="P633" i="1"/>
  <c r="O633" i="1"/>
  <c r="Q632" i="1"/>
  <c r="P632" i="1"/>
  <c r="O632" i="1"/>
  <c r="Q631" i="1"/>
  <c r="P631" i="1"/>
  <c r="O631" i="1"/>
  <c r="Q630" i="1"/>
  <c r="P630" i="1"/>
  <c r="O630" i="1"/>
  <c r="Q629" i="1"/>
  <c r="P629" i="1"/>
  <c r="O629" i="1"/>
  <c r="Q628" i="1"/>
  <c r="P628" i="1"/>
  <c r="O628" i="1"/>
  <c r="Q626" i="1"/>
  <c r="P626" i="1"/>
  <c r="O626" i="1"/>
  <c r="Q625" i="1"/>
  <c r="P625" i="1"/>
  <c r="O625" i="1"/>
  <c r="Q622" i="1"/>
  <c r="P622" i="1"/>
  <c r="O622" i="1"/>
  <c r="Q620" i="1"/>
  <c r="P620" i="1"/>
  <c r="O620" i="1"/>
  <c r="Q618" i="1"/>
  <c r="P618" i="1"/>
  <c r="O618" i="1"/>
  <c r="Q617" i="1"/>
  <c r="P617" i="1"/>
  <c r="O617" i="1"/>
  <c r="Q616" i="1"/>
  <c r="P616" i="1"/>
  <c r="O616" i="1"/>
  <c r="Q614" i="1"/>
  <c r="P614" i="1"/>
  <c r="O614" i="1"/>
  <c r="Q611" i="1"/>
  <c r="P611" i="1"/>
  <c r="O611" i="1"/>
  <c r="Q610" i="1"/>
  <c r="P610" i="1"/>
  <c r="O610" i="1"/>
  <c r="Q609" i="1"/>
  <c r="P609" i="1"/>
  <c r="O609" i="1"/>
  <c r="Q608" i="1"/>
  <c r="P608" i="1"/>
  <c r="O608" i="1"/>
  <c r="Q606" i="1"/>
  <c r="P606" i="1"/>
  <c r="O606" i="1"/>
  <c r="Q605" i="1"/>
  <c r="P605" i="1"/>
  <c r="O605" i="1"/>
  <c r="Q602" i="1"/>
  <c r="P602" i="1"/>
  <c r="O602" i="1"/>
  <c r="Q600" i="1"/>
  <c r="P600" i="1"/>
  <c r="O600" i="1"/>
  <c r="Q598" i="1"/>
  <c r="P598" i="1"/>
  <c r="O598" i="1"/>
  <c r="Q597" i="1"/>
  <c r="P597" i="1"/>
  <c r="O597" i="1"/>
  <c r="Q595" i="1"/>
  <c r="P595" i="1"/>
  <c r="O595" i="1"/>
  <c r="Q593" i="1"/>
  <c r="P593" i="1"/>
  <c r="O593" i="1"/>
  <c r="Q592" i="1"/>
  <c r="P592" i="1"/>
  <c r="O592" i="1"/>
  <c r="Q591" i="1"/>
  <c r="P591" i="1"/>
  <c r="O591" i="1"/>
  <c r="Q590" i="1"/>
  <c r="P590" i="1"/>
  <c r="O590" i="1"/>
  <c r="Q588" i="1"/>
  <c r="P588" i="1"/>
  <c r="O588" i="1"/>
  <c r="Q585" i="1"/>
  <c r="P585" i="1"/>
  <c r="O585" i="1"/>
  <c r="Q584" i="1"/>
  <c r="P584" i="1"/>
  <c r="O584" i="1"/>
  <c r="Q583" i="1"/>
  <c r="P583" i="1"/>
  <c r="O583" i="1"/>
  <c r="Q582" i="1"/>
  <c r="P582" i="1"/>
  <c r="O582" i="1"/>
  <c r="Q579" i="1"/>
  <c r="P579" i="1"/>
  <c r="O579" i="1"/>
  <c r="Q578" i="1"/>
  <c r="P578" i="1"/>
  <c r="O578" i="1"/>
  <c r="S578" i="1" s="1"/>
  <c r="Q575" i="1"/>
  <c r="P575" i="1"/>
  <c r="O575" i="1"/>
  <c r="S575" i="1" s="1"/>
  <c r="Q574" i="1"/>
  <c r="P574" i="1"/>
  <c r="O574" i="1"/>
  <c r="S574" i="1" s="1"/>
  <c r="Q569" i="1"/>
  <c r="P569" i="1"/>
  <c r="O569" i="1"/>
  <c r="Q568" i="1"/>
  <c r="P568" i="1"/>
  <c r="O568" i="1"/>
  <c r="Q567" i="1"/>
  <c r="P567" i="1"/>
  <c r="O567" i="1"/>
  <c r="S567" i="1" s="1"/>
  <c r="Q566" i="1"/>
  <c r="P566" i="1"/>
  <c r="O566" i="1"/>
  <c r="S566" i="1" s="1"/>
  <c r="Q565" i="1"/>
  <c r="P565" i="1"/>
  <c r="O565" i="1"/>
  <c r="S565" i="1" s="1"/>
  <c r="Q564" i="1"/>
  <c r="P564" i="1"/>
  <c r="O564" i="1"/>
  <c r="Q563" i="1"/>
  <c r="P563" i="1"/>
  <c r="O563" i="1"/>
  <c r="Q562" i="1"/>
  <c r="P562" i="1"/>
  <c r="O562" i="1"/>
  <c r="S562" i="1" s="1"/>
  <c r="Q561" i="1"/>
  <c r="P561" i="1"/>
  <c r="O561" i="1"/>
  <c r="Q560" i="1"/>
  <c r="P560" i="1"/>
  <c r="O560" i="1"/>
  <c r="Q559" i="1"/>
  <c r="P559" i="1"/>
  <c r="T559" i="1" s="1"/>
  <c r="O559" i="1"/>
  <c r="Q558" i="1"/>
  <c r="P558" i="1"/>
  <c r="O558" i="1"/>
  <c r="S558" i="1" s="1"/>
  <c r="Q557" i="1"/>
  <c r="P557" i="1"/>
  <c r="O557" i="1"/>
  <c r="Q556" i="1"/>
  <c r="P556" i="1"/>
  <c r="T556" i="1" s="1"/>
  <c r="O556" i="1"/>
  <c r="S556" i="1" s="1"/>
  <c r="Q555" i="1"/>
  <c r="P555" i="1"/>
  <c r="T555" i="1" s="1"/>
  <c r="O555" i="1"/>
  <c r="S555" i="1" s="1"/>
  <c r="Q554" i="1"/>
  <c r="P554" i="1"/>
  <c r="T554" i="1" s="1"/>
  <c r="O554" i="1"/>
  <c r="Q553" i="1"/>
  <c r="P553" i="1"/>
  <c r="T553" i="1" s="1"/>
  <c r="O553" i="1"/>
  <c r="S553" i="1" s="1"/>
  <c r="Q552" i="1"/>
  <c r="P552" i="1"/>
  <c r="O552" i="1"/>
  <c r="S552" i="1" s="1"/>
  <c r="Q548" i="1"/>
  <c r="P548" i="1"/>
  <c r="O548" i="1"/>
  <c r="S548" i="1" s="1"/>
  <c r="Q547" i="1"/>
  <c r="P547" i="1"/>
  <c r="O547" i="1"/>
  <c r="S547" i="1" s="1"/>
  <c r="Q546" i="1"/>
  <c r="P546" i="1"/>
  <c r="O546" i="1"/>
  <c r="S546" i="1" s="1"/>
  <c r="Q545" i="1"/>
  <c r="P545" i="1"/>
  <c r="O545" i="1"/>
  <c r="S545" i="1" s="1"/>
  <c r="Q543" i="1"/>
  <c r="P543" i="1"/>
  <c r="O543" i="1"/>
  <c r="S543" i="1" s="1"/>
  <c r="Q542" i="1"/>
  <c r="P542" i="1"/>
  <c r="O542" i="1"/>
  <c r="S542" i="1" s="1"/>
  <c r="Q540" i="1"/>
  <c r="P540" i="1"/>
  <c r="O540" i="1"/>
  <c r="S540" i="1" s="1"/>
  <c r="Q539" i="1"/>
  <c r="P539" i="1"/>
  <c r="O539" i="1"/>
  <c r="S539" i="1" s="1"/>
  <c r="Q536" i="1"/>
  <c r="P536" i="1"/>
  <c r="O536" i="1"/>
  <c r="S536" i="1" s="1"/>
  <c r="Q534" i="1"/>
  <c r="P534" i="1"/>
  <c r="O534" i="1"/>
  <c r="S534" i="1" s="1"/>
  <c r="Q532" i="1"/>
  <c r="P532" i="1"/>
  <c r="O532" i="1"/>
  <c r="S532" i="1" s="1"/>
  <c r="Q531" i="1"/>
  <c r="P531" i="1"/>
  <c r="O531" i="1"/>
  <c r="S531" i="1" s="1"/>
  <c r="Q530" i="1"/>
  <c r="P530" i="1"/>
  <c r="O530" i="1"/>
  <c r="S530" i="1" s="1"/>
  <c r="Q529" i="1"/>
  <c r="P529" i="1"/>
  <c r="O529" i="1"/>
  <c r="S529" i="1" s="1"/>
  <c r="Q528" i="1"/>
  <c r="P528" i="1"/>
  <c r="O528" i="1"/>
  <c r="S528" i="1" s="1"/>
  <c r="Q526" i="1"/>
  <c r="P526" i="1"/>
  <c r="O526" i="1"/>
  <c r="S526" i="1" s="1"/>
  <c r="Q523" i="1"/>
  <c r="P523" i="1"/>
  <c r="O523" i="1"/>
  <c r="S523" i="1" s="1"/>
  <c r="Q522" i="1"/>
  <c r="P522" i="1"/>
  <c r="O522" i="1"/>
  <c r="S522" i="1" s="1"/>
  <c r="Q521" i="1"/>
  <c r="P521" i="1"/>
  <c r="O521" i="1"/>
  <c r="S521" i="1" s="1"/>
  <c r="Q520" i="1"/>
  <c r="P520" i="1"/>
  <c r="O520" i="1"/>
  <c r="S520" i="1" s="1"/>
  <c r="Q519" i="1"/>
  <c r="P519" i="1"/>
  <c r="O519" i="1"/>
  <c r="S519" i="1" s="1"/>
  <c r="Q518" i="1"/>
  <c r="P518" i="1"/>
  <c r="O518" i="1"/>
  <c r="S518" i="1" s="1"/>
  <c r="Q517" i="1"/>
  <c r="P517" i="1"/>
  <c r="O517" i="1"/>
  <c r="S517" i="1" s="1"/>
  <c r="Q515" i="1"/>
  <c r="P515" i="1"/>
  <c r="O515" i="1"/>
  <c r="S515" i="1" s="1"/>
  <c r="Q512" i="1"/>
  <c r="P512" i="1"/>
  <c r="O512" i="1"/>
  <c r="S512" i="1" s="1"/>
  <c r="Q510" i="1"/>
  <c r="P510" i="1"/>
  <c r="O510" i="1"/>
  <c r="S510" i="1" s="1"/>
  <c r="Q508" i="1"/>
  <c r="P508" i="1"/>
  <c r="O508" i="1"/>
  <c r="S508" i="1" s="1"/>
  <c r="Q507" i="1"/>
  <c r="P507" i="1"/>
  <c r="O507" i="1"/>
  <c r="S507" i="1" s="1"/>
  <c r="Q505" i="1"/>
  <c r="P505" i="1"/>
  <c r="O505" i="1"/>
  <c r="S505" i="1" s="1"/>
  <c r="Q503" i="1"/>
  <c r="P503" i="1"/>
  <c r="O503" i="1"/>
  <c r="S503" i="1" s="1"/>
  <c r="Q502" i="1"/>
  <c r="P502" i="1"/>
  <c r="O502" i="1"/>
  <c r="S502" i="1" s="1"/>
  <c r="Q501" i="1"/>
  <c r="P501" i="1"/>
  <c r="O501" i="1"/>
  <c r="S501" i="1" s="1"/>
  <c r="Q500" i="1"/>
  <c r="P500" i="1"/>
  <c r="O500" i="1"/>
  <c r="S500" i="1" s="1"/>
  <c r="Q499" i="1"/>
  <c r="P499" i="1"/>
  <c r="O499" i="1"/>
  <c r="S499" i="1" s="1"/>
  <c r="Q498" i="1"/>
  <c r="P498" i="1"/>
  <c r="O498" i="1"/>
  <c r="S498" i="1" s="1"/>
  <c r="Q497" i="1"/>
  <c r="P497" i="1"/>
  <c r="O497" i="1"/>
  <c r="S497" i="1" s="1"/>
  <c r="Q495" i="1"/>
  <c r="P495" i="1"/>
  <c r="O495" i="1"/>
  <c r="S495" i="1" s="1"/>
  <c r="Q492" i="1"/>
  <c r="P492" i="1"/>
  <c r="O492" i="1"/>
  <c r="S492" i="1" s="1"/>
  <c r="Q491" i="1"/>
  <c r="P491" i="1"/>
  <c r="O491" i="1"/>
  <c r="S491" i="1" s="1"/>
  <c r="Q488" i="1"/>
  <c r="P488" i="1"/>
  <c r="O488" i="1"/>
  <c r="S488" i="1" s="1"/>
  <c r="Q485" i="1"/>
  <c r="P485" i="1"/>
  <c r="O485" i="1"/>
  <c r="S485" i="1" s="1"/>
  <c r="Q484" i="1"/>
  <c r="P484" i="1"/>
  <c r="O484" i="1"/>
  <c r="S484" i="1" s="1"/>
  <c r="Q479" i="1"/>
  <c r="P479" i="1"/>
  <c r="O479" i="1"/>
  <c r="S479" i="1" s="1"/>
  <c r="Q478" i="1"/>
  <c r="P478" i="1"/>
  <c r="O478" i="1"/>
  <c r="S478" i="1" s="1"/>
  <c r="Q477" i="1"/>
  <c r="P477" i="1"/>
  <c r="O477" i="1"/>
  <c r="S477" i="1" s="1"/>
  <c r="Q476" i="1"/>
  <c r="P476" i="1"/>
  <c r="O476" i="1"/>
  <c r="S476" i="1" s="1"/>
  <c r="Q475" i="1"/>
  <c r="P475" i="1"/>
  <c r="O475" i="1"/>
  <c r="S475" i="1" s="1"/>
  <c r="Q474" i="1"/>
  <c r="P474" i="1"/>
  <c r="O474" i="1"/>
  <c r="S474" i="1" s="1"/>
  <c r="Q473" i="1"/>
  <c r="P473" i="1"/>
  <c r="O473" i="1"/>
  <c r="S473" i="1" s="1"/>
  <c r="Q472" i="1"/>
  <c r="P472" i="1"/>
  <c r="O472" i="1"/>
  <c r="S472" i="1" s="1"/>
  <c r="Q471" i="1"/>
  <c r="P471" i="1"/>
  <c r="Q470" i="1"/>
  <c r="P470" i="1"/>
  <c r="O470" i="1"/>
  <c r="S470" i="1" s="1"/>
  <c r="Q469" i="1"/>
  <c r="P469" i="1"/>
  <c r="O469" i="1"/>
  <c r="S469" i="1" s="1"/>
  <c r="Q468" i="1"/>
  <c r="P468" i="1"/>
  <c r="O468" i="1"/>
  <c r="S468" i="1" s="1"/>
  <c r="Q467" i="1"/>
  <c r="P467" i="1"/>
  <c r="O467" i="1"/>
  <c r="S467" i="1" s="1"/>
  <c r="Q466" i="1"/>
  <c r="P466" i="1"/>
  <c r="O466" i="1"/>
  <c r="S466" i="1" s="1"/>
  <c r="Q465" i="1"/>
  <c r="P465" i="1"/>
  <c r="O465" i="1"/>
  <c r="S465" i="1" s="1"/>
  <c r="Q464" i="1"/>
  <c r="P464" i="1"/>
  <c r="O464" i="1"/>
  <c r="S464" i="1" s="1"/>
  <c r="Q463" i="1"/>
  <c r="P463" i="1"/>
  <c r="O463" i="1"/>
  <c r="S463" i="1" s="1"/>
  <c r="Q461" i="1"/>
  <c r="P461" i="1"/>
  <c r="O461" i="1"/>
  <c r="S461" i="1" s="1"/>
  <c r="Q457" i="1"/>
  <c r="P457" i="1"/>
  <c r="O457" i="1"/>
  <c r="S457" i="1" s="1"/>
  <c r="Q456" i="1"/>
  <c r="P456" i="1"/>
  <c r="O456" i="1"/>
  <c r="S456" i="1" s="1"/>
  <c r="Q455" i="1"/>
  <c r="P455" i="1"/>
  <c r="O455" i="1"/>
  <c r="S455" i="1" s="1"/>
  <c r="Q453" i="1"/>
  <c r="P453" i="1"/>
  <c r="O453" i="1"/>
  <c r="S453" i="1" s="1"/>
  <c r="Q451" i="1"/>
  <c r="P451" i="1"/>
  <c r="O451" i="1"/>
  <c r="S451" i="1" s="1"/>
  <c r="Q450" i="1"/>
  <c r="P450" i="1"/>
  <c r="O450" i="1"/>
  <c r="S450" i="1" s="1"/>
  <c r="Q447" i="1"/>
  <c r="P447" i="1"/>
  <c r="O447" i="1"/>
  <c r="S447" i="1" s="1"/>
  <c r="Q446" i="1"/>
  <c r="P446" i="1"/>
  <c r="O446" i="1"/>
  <c r="S446" i="1" s="1"/>
  <c r="Q444" i="1"/>
  <c r="P444" i="1"/>
  <c r="O444" i="1"/>
  <c r="S444" i="1" s="1"/>
  <c r="Q442" i="1"/>
  <c r="P442" i="1"/>
  <c r="O442" i="1"/>
  <c r="S442" i="1" s="1"/>
  <c r="Q441" i="1"/>
  <c r="P441" i="1"/>
  <c r="O441" i="1"/>
  <c r="S441" i="1" s="1"/>
  <c r="Q440" i="1"/>
  <c r="P440" i="1"/>
  <c r="O440" i="1"/>
  <c r="S440" i="1" s="1"/>
  <c r="Q439" i="1"/>
  <c r="P439" i="1"/>
  <c r="O439" i="1"/>
  <c r="S439" i="1" s="1"/>
  <c r="Q437" i="1"/>
  <c r="P437" i="1"/>
  <c r="O437" i="1"/>
  <c r="S437" i="1" s="1"/>
  <c r="Q434" i="1"/>
  <c r="P434" i="1"/>
  <c r="O434" i="1"/>
  <c r="S434" i="1" s="1"/>
  <c r="Q433" i="1"/>
  <c r="P433" i="1"/>
  <c r="O433" i="1"/>
  <c r="S433" i="1" s="1"/>
  <c r="Q432" i="1"/>
  <c r="P432" i="1"/>
  <c r="O432" i="1"/>
  <c r="S432" i="1" s="1"/>
  <c r="Q431" i="1"/>
  <c r="P431" i="1"/>
  <c r="O431" i="1"/>
  <c r="S431" i="1" s="1"/>
  <c r="Q430" i="1"/>
  <c r="P430" i="1"/>
  <c r="O430" i="1"/>
  <c r="S430" i="1" s="1"/>
  <c r="Q429" i="1"/>
  <c r="P429" i="1"/>
  <c r="O429" i="1"/>
  <c r="S429" i="1" s="1"/>
  <c r="Q426" i="1"/>
  <c r="P426" i="1"/>
  <c r="O426" i="1"/>
  <c r="S426" i="1" s="1"/>
  <c r="Q424" i="1"/>
  <c r="P424" i="1"/>
  <c r="O424" i="1"/>
  <c r="S424" i="1" s="1"/>
  <c r="Q422" i="1"/>
  <c r="P422" i="1"/>
  <c r="O422" i="1"/>
  <c r="S422" i="1" s="1"/>
  <c r="Q421" i="1"/>
  <c r="P421" i="1"/>
  <c r="O421" i="1"/>
  <c r="S421" i="1" s="1"/>
  <c r="Q420" i="1"/>
  <c r="P420" i="1"/>
  <c r="O420" i="1"/>
  <c r="Q419" i="1"/>
  <c r="P419" i="1"/>
  <c r="O419" i="1"/>
  <c r="S419" i="1" s="1"/>
  <c r="Q418" i="1"/>
  <c r="P418" i="1"/>
  <c r="O418" i="1"/>
  <c r="S418" i="1" s="1"/>
  <c r="Q417" i="1"/>
  <c r="P417" i="1"/>
  <c r="O417" i="1"/>
  <c r="Q416" i="1"/>
  <c r="P416" i="1"/>
  <c r="O416" i="1"/>
  <c r="S416" i="1" s="1"/>
  <c r="Q415" i="1"/>
  <c r="P415" i="1"/>
  <c r="O415" i="1"/>
  <c r="S415" i="1" s="1"/>
  <c r="Q414" i="1"/>
  <c r="P414" i="1"/>
  <c r="O414" i="1"/>
  <c r="S414" i="1" s="1"/>
  <c r="Q413" i="1"/>
  <c r="P413" i="1"/>
  <c r="O413" i="1"/>
  <c r="S413" i="1" s="1"/>
  <c r="Q412" i="1"/>
  <c r="P412" i="1"/>
  <c r="O412" i="1"/>
  <c r="S412" i="1" s="1"/>
  <c r="Q411" i="1"/>
  <c r="P411" i="1"/>
  <c r="O411" i="1"/>
  <c r="S411" i="1" s="1"/>
  <c r="Q410" i="1"/>
  <c r="P410" i="1"/>
  <c r="O410" i="1"/>
  <c r="S410" i="1" s="1"/>
  <c r="Q409" i="1"/>
  <c r="P409" i="1"/>
  <c r="O409" i="1"/>
  <c r="S409" i="1" s="1"/>
  <c r="Q408" i="1"/>
  <c r="P408" i="1"/>
  <c r="Q407" i="1"/>
  <c r="P407" i="1"/>
  <c r="O407" i="1"/>
  <c r="S407" i="1" s="1"/>
  <c r="Q406" i="1"/>
  <c r="P406" i="1"/>
  <c r="O406" i="1"/>
  <c r="S406" i="1" s="1"/>
  <c r="O405" i="1"/>
  <c r="Q403" i="1"/>
  <c r="P403" i="1"/>
  <c r="O403" i="1"/>
  <c r="S403" i="1" s="1"/>
  <c r="Q402" i="1"/>
  <c r="P402" i="1"/>
  <c r="O402" i="1"/>
  <c r="S402" i="1" s="1"/>
  <c r="Q399" i="1"/>
  <c r="P399" i="1"/>
  <c r="O399" i="1"/>
  <c r="S399" i="1" s="1"/>
  <c r="Q398" i="1"/>
  <c r="P398" i="1"/>
  <c r="O398" i="1"/>
  <c r="S398" i="1" s="1"/>
  <c r="Q397" i="1"/>
  <c r="P397" i="1"/>
  <c r="O397" i="1"/>
  <c r="S397" i="1" s="1"/>
  <c r="Q396" i="1"/>
  <c r="P396" i="1"/>
  <c r="O396" i="1"/>
  <c r="S396" i="1" s="1"/>
  <c r="Q395" i="1"/>
  <c r="P395" i="1"/>
  <c r="O395" i="1"/>
  <c r="Q393" i="1"/>
  <c r="P393" i="1"/>
  <c r="O393" i="1"/>
  <c r="S393" i="1" s="1"/>
  <c r="Q392" i="1"/>
  <c r="P392" i="1"/>
  <c r="O392" i="1"/>
  <c r="S392" i="1" s="1"/>
  <c r="Q387" i="1"/>
  <c r="P387" i="1"/>
  <c r="O387" i="1"/>
  <c r="S387" i="1" s="1"/>
  <c r="Q386" i="1"/>
  <c r="P386" i="1"/>
  <c r="O386" i="1"/>
  <c r="S386" i="1" s="1"/>
  <c r="Q385" i="1"/>
  <c r="P385" i="1"/>
  <c r="O385" i="1"/>
  <c r="S385" i="1" s="1"/>
  <c r="Q384" i="1"/>
  <c r="P384" i="1"/>
  <c r="O384" i="1"/>
  <c r="S384" i="1" s="1"/>
  <c r="Q383" i="1"/>
  <c r="P383" i="1"/>
  <c r="O383" i="1"/>
  <c r="S383" i="1" s="1"/>
  <c r="Q382" i="1"/>
  <c r="P382" i="1"/>
  <c r="O382" i="1"/>
  <c r="S382" i="1" s="1"/>
  <c r="Q381" i="1"/>
  <c r="P381" i="1"/>
  <c r="O381" i="1"/>
  <c r="S381" i="1" s="1"/>
  <c r="Q380" i="1"/>
  <c r="P380" i="1"/>
  <c r="O380" i="1"/>
  <c r="S380" i="1" s="1"/>
  <c r="Q379" i="1"/>
  <c r="P379" i="1"/>
  <c r="O379" i="1"/>
  <c r="S379" i="1" s="1"/>
  <c r="Q378" i="1"/>
  <c r="P378" i="1"/>
  <c r="O378" i="1"/>
  <c r="S378" i="1" s="1"/>
  <c r="Q377" i="1"/>
  <c r="P377" i="1"/>
  <c r="O377" i="1"/>
  <c r="S377" i="1" s="1"/>
  <c r="Q376" i="1"/>
  <c r="P376" i="1"/>
  <c r="T376" i="1" s="1"/>
  <c r="O376" i="1"/>
  <c r="S376" i="1" s="1"/>
  <c r="Q375" i="1"/>
  <c r="P375" i="1"/>
  <c r="T375" i="1" s="1"/>
  <c r="O375" i="1"/>
  <c r="S375" i="1" s="1"/>
  <c r="Q374" i="1"/>
  <c r="P374" i="1"/>
  <c r="O374" i="1"/>
  <c r="S374" i="1" s="1"/>
  <c r="Q373" i="1"/>
  <c r="P373" i="1"/>
  <c r="O373" i="1"/>
  <c r="S373" i="1" s="1"/>
  <c r="Q372" i="1"/>
  <c r="P372" i="1"/>
  <c r="O372" i="1"/>
  <c r="S372" i="1" s="1"/>
  <c r="Q371" i="1"/>
  <c r="P371" i="1"/>
  <c r="O371" i="1"/>
  <c r="S371" i="1" s="1"/>
  <c r="Q370" i="1"/>
  <c r="P370" i="1"/>
  <c r="O370" i="1"/>
  <c r="S370" i="1" s="1"/>
  <c r="Q369" i="1"/>
  <c r="P369" i="1"/>
  <c r="O369" i="1"/>
  <c r="S369" i="1" s="1"/>
  <c r="Q368" i="1"/>
  <c r="P368" i="1"/>
  <c r="O368" i="1"/>
  <c r="S368" i="1" s="1"/>
  <c r="Q367" i="1"/>
  <c r="P367" i="1"/>
  <c r="T367" i="1" s="1"/>
  <c r="O367" i="1"/>
  <c r="S367" i="1" s="1"/>
  <c r="Q366" i="1"/>
  <c r="P366" i="1"/>
  <c r="T366" i="1" s="1"/>
  <c r="O366" i="1"/>
  <c r="S366" i="1" s="1"/>
  <c r="Q365" i="1"/>
  <c r="P365" i="1"/>
  <c r="O365" i="1"/>
  <c r="S365" i="1" s="1"/>
  <c r="Q364" i="1"/>
  <c r="P364" i="1"/>
  <c r="T364" i="1" s="1"/>
  <c r="O364" i="1"/>
  <c r="Q363" i="1"/>
  <c r="P363" i="1"/>
  <c r="T363" i="1" s="1"/>
  <c r="O363" i="1"/>
  <c r="S363" i="1" s="1"/>
  <c r="Q362" i="1"/>
  <c r="P362" i="1"/>
  <c r="O362" i="1"/>
  <c r="S362" i="1" s="1"/>
  <c r="Q361" i="1"/>
  <c r="P361" i="1"/>
  <c r="O361" i="1"/>
  <c r="S361" i="1" s="1"/>
  <c r="Q360" i="1"/>
  <c r="P360" i="1"/>
  <c r="O360" i="1"/>
  <c r="S360" i="1" s="1"/>
  <c r="Q359" i="1"/>
  <c r="P359" i="1"/>
  <c r="T359" i="1" s="1"/>
  <c r="O359" i="1"/>
  <c r="S359" i="1" s="1"/>
  <c r="Q358" i="1"/>
  <c r="P358" i="1"/>
  <c r="O358" i="1"/>
  <c r="S358" i="1" s="1"/>
  <c r="Q357" i="1"/>
  <c r="P357" i="1"/>
  <c r="O357" i="1"/>
  <c r="S357" i="1" s="1"/>
  <c r="Q356" i="1"/>
  <c r="P356" i="1"/>
  <c r="O356" i="1"/>
  <c r="S356" i="1" s="1"/>
  <c r="Q355" i="1"/>
  <c r="P355" i="1"/>
  <c r="O355" i="1"/>
  <c r="S355" i="1" s="1"/>
  <c r="Q352" i="1"/>
  <c r="P352" i="1"/>
  <c r="O352" i="1"/>
  <c r="S352" i="1" s="1"/>
  <c r="Q351" i="1"/>
  <c r="P351" i="1"/>
  <c r="O351" i="1"/>
  <c r="S351" i="1" s="1"/>
  <c r="Q350" i="1"/>
  <c r="P350" i="1"/>
  <c r="O350" i="1"/>
  <c r="S350" i="1" s="1"/>
  <c r="Q349" i="1"/>
  <c r="P349" i="1"/>
  <c r="T349" i="1" s="1"/>
  <c r="O349" i="1"/>
  <c r="S349" i="1" s="1"/>
  <c r="Q348" i="1"/>
  <c r="P348" i="1"/>
  <c r="T348" i="1" s="1"/>
  <c r="O348" i="1"/>
  <c r="S348" i="1" s="1"/>
  <c r="Q347" i="1"/>
  <c r="P347" i="1"/>
  <c r="O347" i="1"/>
  <c r="S347" i="1" s="1"/>
  <c r="Q346" i="1"/>
  <c r="P346" i="1"/>
  <c r="O346" i="1"/>
  <c r="S346" i="1" s="1"/>
  <c r="Q345" i="1"/>
  <c r="P345" i="1"/>
  <c r="T345" i="1" s="1"/>
  <c r="O345" i="1"/>
  <c r="S345" i="1" s="1"/>
  <c r="Q344" i="1"/>
  <c r="P344" i="1"/>
  <c r="T344" i="1" s="1"/>
  <c r="O344" i="1"/>
  <c r="S344" i="1" s="1"/>
  <c r="Q343" i="1"/>
  <c r="P343" i="1"/>
  <c r="O343" i="1"/>
  <c r="S343" i="1" s="1"/>
  <c r="Q342" i="1"/>
  <c r="P342" i="1"/>
  <c r="O342" i="1"/>
  <c r="S342" i="1" s="1"/>
  <c r="Q341" i="1"/>
  <c r="P341" i="1"/>
  <c r="T341" i="1" s="1"/>
  <c r="O341" i="1"/>
  <c r="S341" i="1" s="1"/>
  <c r="Q340" i="1"/>
  <c r="P340" i="1"/>
  <c r="T340" i="1" s="1"/>
  <c r="O340" i="1"/>
  <c r="S340" i="1" s="1"/>
  <c r="Q339" i="1"/>
  <c r="P339" i="1"/>
  <c r="O339" i="1"/>
  <c r="S339" i="1" s="1"/>
  <c r="Q338" i="1"/>
  <c r="P338" i="1"/>
  <c r="O338" i="1"/>
  <c r="S338" i="1" s="1"/>
  <c r="Q333" i="1"/>
  <c r="U333" i="1" s="1"/>
  <c r="P333" i="1"/>
  <c r="O333" i="1"/>
  <c r="S333" i="1" s="1"/>
  <c r="Q332" i="1"/>
  <c r="U332" i="1" s="1"/>
  <c r="P332" i="1"/>
  <c r="T332" i="1" s="1"/>
  <c r="O332" i="1"/>
  <c r="S332" i="1" s="1"/>
  <c r="Q331" i="1"/>
  <c r="U331" i="1" s="1"/>
  <c r="P331" i="1"/>
  <c r="T331" i="1" s="1"/>
  <c r="O331" i="1"/>
  <c r="S331" i="1" s="1"/>
  <c r="Q330" i="1"/>
  <c r="U330" i="1" s="1"/>
  <c r="P330" i="1"/>
  <c r="T330" i="1" s="1"/>
  <c r="O330" i="1"/>
  <c r="S330" i="1" s="1"/>
  <c r="Q328" i="1"/>
  <c r="P328" i="1"/>
  <c r="T328" i="1" s="1"/>
  <c r="O328" i="1"/>
  <c r="S328" i="1" s="1"/>
  <c r="Q326" i="1"/>
  <c r="P326" i="1"/>
  <c r="O326" i="1"/>
  <c r="S326" i="1" s="1"/>
  <c r="Q325" i="1"/>
  <c r="R325" i="1" s="1"/>
  <c r="V325" i="1" s="1"/>
  <c r="Q321" i="1"/>
  <c r="P321" i="1"/>
  <c r="T321" i="1" s="1"/>
  <c r="O321" i="1"/>
  <c r="S321" i="1" s="1"/>
  <c r="Q320" i="1"/>
  <c r="P320" i="1"/>
  <c r="T320" i="1" s="1"/>
  <c r="O320" i="1"/>
  <c r="S320" i="1" s="1"/>
  <c r="Q319" i="1"/>
  <c r="P319" i="1"/>
  <c r="T319" i="1" s="1"/>
  <c r="O319" i="1"/>
  <c r="S319" i="1" s="1"/>
  <c r="Q318" i="1"/>
  <c r="P318" i="1"/>
  <c r="T318" i="1" s="1"/>
  <c r="O318" i="1"/>
  <c r="Q317" i="1"/>
  <c r="P317" i="1"/>
  <c r="O317" i="1"/>
  <c r="S317" i="1" s="1"/>
  <c r="Q316" i="1"/>
  <c r="P316" i="1"/>
  <c r="T316" i="1" s="1"/>
  <c r="O316" i="1"/>
  <c r="S316" i="1" s="1"/>
  <c r="Q311" i="1"/>
  <c r="P311" i="1"/>
  <c r="T311" i="1" s="1"/>
  <c r="O311" i="1"/>
  <c r="S311" i="1" s="1"/>
  <c r="Q310" i="1"/>
  <c r="P310" i="1"/>
  <c r="O310" i="1"/>
  <c r="Q308" i="1"/>
  <c r="P308" i="1"/>
  <c r="T308" i="1" s="1"/>
  <c r="O308" i="1"/>
  <c r="Q307" i="1"/>
  <c r="P307" i="1"/>
  <c r="O307" i="1"/>
  <c r="S307" i="1" s="1"/>
  <c r="Q306" i="1"/>
  <c r="P306" i="1"/>
  <c r="O306" i="1"/>
  <c r="S306" i="1" s="1"/>
  <c r="Q305" i="1"/>
  <c r="P305" i="1"/>
  <c r="O305" i="1"/>
  <c r="S305" i="1" s="1"/>
  <c r="Q304" i="1"/>
  <c r="P304" i="1"/>
  <c r="O304" i="1"/>
  <c r="Q303" i="1"/>
  <c r="P303" i="1"/>
  <c r="O303" i="1"/>
  <c r="Q302" i="1"/>
  <c r="P302" i="1"/>
  <c r="T302" i="1" s="1"/>
  <c r="O302" i="1"/>
  <c r="Q301" i="1"/>
  <c r="P301" i="1"/>
  <c r="O301" i="1"/>
  <c r="Q299" i="1"/>
  <c r="P299" i="1"/>
  <c r="T299" i="1" s="1"/>
  <c r="O299" i="1"/>
  <c r="S299" i="1" s="1"/>
  <c r="Q298" i="1"/>
  <c r="P298" i="1"/>
  <c r="O298" i="1"/>
  <c r="S298" i="1" s="1"/>
  <c r="Q297" i="1"/>
  <c r="P297" i="1"/>
  <c r="T297" i="1" s="1"/>
  <c r="O297" i="1"/>
  <c r="Q296" i="1"/>
  <c r="P296" i="1"/>
  <c r="T296" i="1" s="1"/>
  <c r="O296" i="1"/>
  <c r="S296" i="1" s="1"/>
  <c r="Q295" i="1"/>
  <c r="P295" i="1"/>
  <c r="T295" i="1" s="1"/>
  <c r="O295" i="1"/>
  <c r="S295" i="1" s="1"/>
  <c r="Q294" i="1"/>
  <c r="P294" i="1"/>
  <c r="O294" i="1"/>
  <c r="S294" i="1" s="1"/>
  <c r="Q292" i="1"/>
  <c r="P292" i="1"/>
  <c r="T292" i="1" s="1"/>
  <c r="O292" i="1"/>
  <c r="Q291" i="1"/>
  <c r="P291" i="1"/>
  <c r="T291" i="1" s="1"/>
  <c r="O291" i="1"/>
  <c r="Q290" i="1"/>
  <c r="P290" i="1"/>
  <c r="O290" i="1"/>
  <c r="P289" i="1"/>
  <c r="O289" i="1"/>
  <c r="Q288" i="1"/>
  <c r="P288" i="1"/>
  <c r="O288" i="1"/>
  <c r="Q287" i="1"/>
  <c r="U287" i="1" s="1"/>
  <c r="P287" i="1"/>
  <c r="O287" i="1"/>
  <c r="S287" i="1" s="1"/>
  <c r="Q286" i="1"/>
  <c r="P286" i="1"/>
  <c r="O286" i="1"/>
  <c r="Q284" i="1"/>
  <c r="P284" i="1"/>
  <c r="T284" i="1" s="1"/>
  <c r="O284" i="1"/>
  <c r="S284" i="1" s="1"/>
  <c r="Q283" i="1"/>
  <c r="P283" i="1"/>
  <c r="Q281" i="1"/>
  <c r="P281" i="1"/>
  <c r="O281" i="1"/>
  <c r="Q280" i="1"/>
  <c r="U280" i="1" s="1"/>
  <c r="P280" i="1"/>
  <c r="O280" i="1"/>
  <c r="Q278" i="1"/>
  <c r="P278" i="1"/>
  <c r="O278" i="1"/>
  <c r="Q277" i="1"/>
  <c r="U277" i="1" s="1"/>
  <c r="P277" i="1"/>
  <c r="O277" i="1"/>
  <c r="S277" i="1" s="1"/>
  <c r="Q276" i="1"/>
  <c r="U276" i="1" s="1"/>
  <c r="P276" i="1"/>
  <c r="O276" i="1"/>
  <c r="S276" i="1" s="1"/>
  <c r="Q275" i="1"/>
  <c r="U275" i="1" s="1"/>
  <c r="P275" i="1"/>
  <c r="O275" i="1"/>
  <c r="S275" i="1" s="1"/>
  <c r="Q274" i="1"/>
  <c r="P274" i="1"/>
  <c r="T274" i="1" s="1"/>
  <c r="O274" i="1"/>
  <c r="S274" i="1" s="1"/>
  <c r="Q269" i="1"/>
  <c r="P269" i="1"/>
  <c r="O269" i="1"/>
  <c r="S269" i="1" s="1"/>
  <c r="Q268" i="1"/>
  <c r="P268" i="1"/>
  <c r="O268" i="1"/>
  <c r="S268" i="1" s="1"/>
  <c r="Q267" i="1"/>
  <c r="P267" i="1"/>
  <c r="O267" i="1"/>
  <c r="S267" i="1" s="1"/>
  <c r="Q266" i="1"/>
  <c r="P266" i="1"/>
  <c r="O266" i="1"/>
  <c r="S266" i="1" s="1"/>
  <c r="Q265" i="1"/>
  <c r="P265" i="1"/>
  <c r="O265" i="1"/>
  <c r="S265" i="1" s="1"/>
  <c r="Q264" i="1"/>
  <c r="P264" i="1"/>
  <c r="O264" i="1"/>
  <c r="S264" i="1" s="1"/>
  <c r="Q261" i="1"/>
  <c r="P261" i="1"/>
  <c r="O261" i="1"/>
  <c r="S261" i="1" s="1"/>
  <c r="Q260" i="1"/>
  <c r="P260" i="1"/>
  <c r="O260" i="1"/>
  <c r="S260" i="1" s="1"/>
  <c r="Q259" i="1"/>
  <c r="P259" i="1"/>
  <c r="O259" i="1"/>
  <c r="S259" i="1" s="1"/>
  <c r="Q258" i="1"/>
  <c r="P258" i="1"/>
  <c r="O258" i="1"/>
  <c r="S258" i="1" s="1"/>
  <c r="Q257" i="1"/>
  <c r="P257" i="1"/>
  <c r="O257" i="1"/>
  <c r="S257" i="1" s="1"/>
  <c r="Q256" i="1"/>
  <c r="P256" i="1"/>
  <c r="O256" i="1"/>
  <c r="S256" i="1" s="1"/>
  <c r="Q253" i="1"/>
  <c r="P253" i="1"/>
  <c r="O253" i="1"/>
  <c r="S253" i="1" s="1"/>
  <c r="Q252" i="1"/>
  <c r="P252" i="1"/>
  <c r="T252" i="1" s="1"/>
  <c r="O252" i="1"/>
  <c r="S252" i="1" s="1"/>
  <c r="Q251" i="1"/>
  <c r="P251" i="1"/>
  <c r="O251" i="1"/>
  <c r="S251" i="1" s="1"/>
  <c r="Q250" i="1"/>
  <c r="P250" i="1"/>
  <c r="O250" i="1"/>
  <c r="S250" i="1" s="1"/>
  <c r="Q249" i="1"/>
  <c r="P249" i="1"/>
  <c r="T249" i="1" s="1"/>
  <c r="O249" i="1"/>
  <c r="S249" i="1" s="1"/>
  <c r="Q248" i="1"/>
  <c r="P248" i="1"/>
  <c r="T248" i="1" s="1"/>
  <c r="O248" i="1"/>
  <c r="S248" i="1" s="1"/>
  <c r="Q244" i="1"/>
  <c r="P244" i="1"/>
  <c r="O244" i="1"/>
  <c r="S244" i="1" s="1"/>
  <c r="Q243" i="1"/>
  <c r="P243" i="1"/>
  <c r="S243" i="1"/>
  <c r="Q242" i="1"/>
  <c r="P242" i="1"/>
  <c r="O242" i="1"/>
  <c r="S242" i="1" s="1"/>
  <c r="Q241" i="1"/>
  <c r="P241" i="1"/>
  <c r="O241" i="1"/>
  <c r="S241" i="1" s="1"/>
  <c r="Q240" i="1"/>
  <c r="P240" i="1"/>
  <c r="O240" i="1"/>
  <c r="S240" i="1" s="1"/>
  <c r="Q239" i="1"/>
  <c r="P239" i="1"/>
  <c r="O239" i="1"/>
  <c r="S239" i="1" s="1"/>
  <c r="Q237" i="1"/>
  <c r="P237" i="1"/>
  <c r="O237" i="1"/>
  <c r="S237" i="1" s="1"/>
  <c r="Q236" i="1"/>
  <c r="P236" i="1"/>
  <c r="O236" i="1"/>
  <c r="S236" i="1" s="1"/>
  <c r="Q235" i="1"/>
  <c r="P235" i="1"/>
  <c r="O235" i="1"/>
  <c r="S235" i="1" s="1"/>
  <c r="Q234" i="1"/>
  <c r="P234" i="1"/>
  <c r="O234" i="1"/>
  <c r="S234" i="1" s="1"/>
  <c r="Q233" i="1"/>
  <c r="P233" i="1"/>
  <c r="O233" i="1"/>
  <c r="S233" i="1" s="1"/>
  <c r="Q232" i="1"/>
  <c r="P232" i="1"/>
  <c r="O232" i="1"/>
  <c r="S232" i="1" s="1"/>
  <c r="Q228" i="1"/>
  <c r="P228" i="1"/>
  <c r="O228" i="1"/>
  <c r="S228" i="1" s="1"/>
  <c r="Q227" i="1"/>
  <c r="P227" i="1"/>
  <c r="O227" i="1"/>
  <c r="S227" i="1" s="1"/>
  <c r="Q226" i="1"/>
  <c r="P226" i="1"/>
  <c r="O226" i="1"/>
  <c r="S226" i="1" s="1"/>
  <c r="Q225" i="1"/>
  <c r="P225" i="1"/>
  <c r="O225" i="1"/>
  <c r="S225" i="1" s="1"/>
  <c r="Q224" i="1"/>
  <c r="P224" i="1"/>
  <c r="O224" i="1"/>
  <c r="S224" i="1" s="1"/>
  <c r="Q223" i="1"/>
  <c r="P223" i="1"/>
  <c r="O223" i="1"/>
  <c r="S223" i="1" s="1"/>
  <c r="Q222" i="1"/>
  <c r="P222" i="1"/>
  <c r="O222" i="1"/>
  <c r="S222" i="1" s="1"/>
  <c r="Q217" i="1"/>
  <c r="P217" i="1"/>
  <c r="T217" i="1" s="1"/>
  <c r="O217" i="1"/>
  <c r="S217" i="1" s="1"/>
  <c r="Q216" i="1"/>
  <c r="P216" i="1"/>
  <c r="T216" i="1" s="1"/>
  <c r="O216" i="1"/>
  <c r="S216" i="1" s="1"/>
  <c r="Q215" i="1"/>
  <c r="P215" i="1"/>
  <c r="T215" i="1" s="1"/>
  <c r="O215" i="1"/>
  <c r="S215" i="1" s="1"/>
  <c r="Q214" i="1"/>
  <c r="P214" i="1"/>
  <c r="T214" i="1" s="1"/>
  <c r="O214" i="1"/>
  <c r="Q213" i="1"/>
  <c r="P213" i="1"/>
  <c r="T213" i="1" s="1"/>
  <c r="O213" i="1"/>
  <c r="S213" i="1" s="1"/>
  <c r="Q211" i="1"/>
  <c r="P211" i="1"/>
  <c r="O211" i="1"/>
  <c r="S211" i="1" s="1"/>
  <c r="Q210" i="1"/>
  <c r="P210" i="1"/>
  <c r="O210" i="1"/>
  <c r="S210" i="1" s="1"/>
  <c r="Q209" i="1"/>
  <c r="P209" i="1"/>
  <c r="O209" i="1"/>
  <c r="S209" i="1" s="1"/>
  <c r="Q208" i="1"/>
  <c r="P208" i="1"/>
  <c r="O208" i="1"/>
  <c r="S208" i="1" s="1"/>
  <c r="Q207" i="1"/>
  <c r="P207" i="1"/>
  <c r="O207" i="1"/>
  <c r="S207" i="1" s="1"/>
  <c r="Q206" i="1"/>
  <c r="P206" i="1"/>
  <c r="O206" i="1"/>
  <c r="S206" i="1" s="1"/>
  <c r="Q204" i="1"/>
  <c r="P204" i="1"/>
  <c r="O204" i="1"/>
  <c r="S204" i="1" s="1"/>
  <c r="Q203" i="1"/>
  <c r="P203" i="1"/>
  <c r="O203" i="1"/>
  <c r="S203" i="1" s="1"/>
  <c r="Q201" i="1"/>
  <c r="P201" i="1"/>
  <c r="O201" i="1"/>
  <c r="S201" i="1" s="1"/>
  <c r="Q200" i="1"/>
  <c r="P200" i="1"/>
  <c r="O200" i="1"/>
  <c r="S200" i="1" s="1"/>
  <c r="Q199" i="1"/>
  <c r="P199" i="1"/>
  <c r="O199" i="1"/>
  <c r="S199" i="1" s="1"/>
  <c r="Q198" i="1"/>
  <c r="P198" i="1"/>
  <c r="O198" i="1"/>
  <c r="S198" i="1" s="1"/>
  <c r="Q196" i="1"/>
  <c r="P196" i="1"/>
  <c r="O196" i="1"/>
  <c r="S196" i="1" s="1"/>
  <c r="Q195" i="1"/>
  <c r="P195" i="1"/>
  <c r="O195" i="1"/>
  <c r="S195" i="1" s="1"/>
  <c r="Q194" i="1"/>
  <c r="P194" i="1"/>
  <c r="O194" i="1"/>
  <c r="S194" i="1" s="1"/>
  <c r="Q193" i="1"/>
  <c r="P193" i="1"/>
  <c r="O193" i="1"/>
  <c r="S193" i="1" s="1"/>
  <c r="Q192" i="1"/>
  <c r="P192" i="1"/>
  <c r="O192" i="1"/>
  <c r="S192" i="1" s="1"/>
  <c r="Q191" i="1"/>
  <c r="P191" i="1"/>
  <c r="O191" i="1"/>
  <c r="S191" i="1" s="1"/>
  <c r="Q190" i="1"/>
  <c r="P190" i="1"/>
  <c r="O190" i="1"/>
  <c r="S190" i="1" s="1"/>
  <c r="Q189" i="1"/>
  <c r="P189" i="1"/>
  <c r="O189" i="1"/>
  <c r="S189" i="1" s="1"/>
  <c r="Q188" i="1"/>
  <c r="P188" i="1"/>
  <c r="O188" i="1"/>
  <c r="S188" i="1" s="1"/>
  <c r="Q184" i="1"/>
  <c r="P184" i="1"/>
  <c r="O184" i="1"/>
  <c r="S184" i="1" s="1"/>
  <c r="Q183" i="1"/>
  <c r="P183" i="1"/>
  <c r="O183" i="1"/>
  <c r="S183" i="1" s="1"/>
  <c r="Q182" i="1"/>
  <c r="P182" i="1"/>
  <c r="O182" i="1"/>
  <c r="S182" i="1" s="1"/>
  <c r="Q179" i="1"/>
  <c r="P179" i="1"/>
  <c r="O179" i="1"/>
  <c r="S179" i="1" s="1"/>
  <c r="Q178" i="1"/>
  <c r="P178" i="1"/>
  <c r="O178" i="1"/>
  <c r="S178" i="1" s="1"/>
  <c r="Q177" i="1"/>
  <c r="P177" i="1"/>
  <c r="O177" i="1"/>
  <c r="S177" i="1" s="1"/>
  <c r="Q175" i="1"/>
  <c r="P175" i="1"/>
  <c r="O175" i="1"/>
  <c r="S175" i="1" s="1"/>
  <c r="Q174" i="1"/>
  <c r="P174" i="1"/>
  <c r="O174" i="1"/>
  <c r="S174" i="1" s="1"/>
  <c r="Q173" i="1"/>
  <c r="P173" i="1"/>
  <c r="O173" i="1"/>
  <c r="S173" i="1" s="1"/>
  <c r="Q172" i="1"/>
  <c r="P172" i="1"/>
  <c r="O172" i="1"/>
  <c r="S172" i="1" s="1"/>
  <c r="Q170" i="1"/>
  <c r="P170" i="1"/>
  <c r="O170" i="1"/>
  <c r="S170" i="1" s="1"/>
  <c r="Q169" i="1"/>
  <c r="P169" i="1"/>
  <c r="O169" i="1"/>
  <c r="S169" i="1" s="1"/>
  <c r="Q168" i="1"/>
  <c r="P168" i="1"/>
  <c r="O168" i="1"/>
  <c r="S168" i="1" s="1"/>
  <c r="Q165" i="1"/>
  <c r="P165" i="1"/>
  <c r="O165" i="1"/>
  <c r="S165" i="1" s="1"/>
  <c r="Q164" i="1"/>
  <c r="P164" i="1"/>
  <c r="O164" i="1"/>
  <c r="S164" i="1" s="1"/>
  <c r="Q163" i="1"/>
  <c r="P163" i="1"/>
  <c r="O163" i="1"/>
  <c r="S163" i="1" s="1"/>
  <c r="Q161" i="1"/>
  <c r="P161" i="1"/>
  <c r="O161" i="1"/>
  <c r="S161" i="1" s="1"/>
  <c r="Q160" i="1"/>
  <c r="P160" i="1"/>
  <c r="O160" i="1"/>
  <c r="S160" i="1" s="1"/>
  <c r="Q159" i="1"/>
  <c r="P159" i="1"/>
  <c r="O159" i="1"/>
  <c r="S159" i="1" s="1"/>
  <c r="Q157" i="1"/>
  <c r="P157" i="1"/>
  <c r="O157" i="1"/>
  <c r="S157" i="1" s="1"/>
  <c r="Q156" i="1"/>
  <c r="P156" i="1"/>
  <c r="O156" i="1"/>
  <c r="S156" i="1" s="1"/>
  <c r="Q154" i="1"/>
  <c r="P154" i="1"/>
  <c r="O154" i="1"/>
  <c r="S154" i="1" s="1"/>
  <c r="Q153" i="1"/>
  <c r="P153" i="1"/>
  <c r="O153" i="1"/>
  <c r="S153" i="1" s="1"/>
  <c r="Q152" i="1"/>
  <c r="P152" i="1"/>
  <c r="O152" i="1"/>
  <c r="S152" i="1" s="1"/>
  <c r="Q151" i="1"/>
  <c r="P151" i="1"/>
  <c r="O151" i="1"/>
  <c r="S151" i="1" s="1"/>
  <c r="Q147" i="1"/>
  <c r="P147" i="1"/>
  <c r="O147" i="1"/>
  <c r="S147" i="1" s="1"/>
  <c r="Q146" i="1"/>
  <c r="P146" i="1"/>
  <c r="O146" i="1"/>
  <c r="S146" i="1" s="1"/>
  <c r="Q145" i="1"/>
  <c r="P145" i="1"/>
  <c r="O145" i="1"/>
  <c r="S145" i="1" s="1"/>
  <c r="Q144" i="1"/>
  <c r="P144" i="1"/>
  <c r="O144" i="1"/>
  <c r="S144" i="1" s="1"/>
  <c r="Q142" i="1"/>
  <c r="P142" i="1"/>
  <c r="O142" i="1"/>
  <c r="S142" i="1" s="1"/>
  <c r="Q140" i="1"/>
  <c r="P140" i="1"/>
  <c r="O140" i="1"/>
  <c r="S140" i="1" s="1"/>
  <c r="Q139" i="1"/>
  <c r="P139" i="1"/>
  <c r="O139" i="1"/>
  <c r="S139" i="1" s="1"/>
  <c r="Q138" i="1"/>
  <c r="P138" i="1"/>
  <c r="O138" i="1"/>
  <c r="S138" i="1" s="1"/>
  <c r="Q135" i="1"/>
  <c r="P135" i="1"/>
  <c r="O135" i="1"/>
  <c r="S135" i="1" s="1"/>
  <c r="Q134" i="1"/>
  <c r="P134" i="1"/>
  <c r="O134" i="1"/>
  <c r="S134" i="1" s="1"/>
  <c r="Q133" i="1"/>
  <c r="P133" i="1"/>
  <c r="O133" i="1"/>
  <c r="S133" i="1" s="1"/>
  <c r="Q132" i="1"/>
  <c r="P132" i="1"/>
  <c r="O132" i="1"/>
  <c r="S132" i="1" s="1"/>
  <c r="Q131" i="1"/>
  <c r="P131" i="1"/>
  <c r="O131" i="1"/>
  <c r="S131" i="1" s="1"/>
  <c r="Q130" i="1"/>
  <c r="P130" i="1"/>
  <c r="O130" i="1"/>
  <c r="S130" i="1" s="1"/>
  <c r="Q129" i="1"/>
  <c r="P129" i="1"/>
  <c r="O129" i="1"/>
  <c r="S129" i="1" s="1"/>
  <c r="Q128" i="1"/>
  <c r="P128" i="1"/>
  <c r="O128" i="1"/>
  <c r="S128" i="1" s="1"/>
  <c r="Q127" i="1"/>
  <c r="P127" i="1"/>
  <c r="O127" i="1"/>
  <c r="S127" i="1" s="1"/>
  <c r="Q126" i="1"/>
  <c r="P126" i="1"/>
  <c r="O126" i="1"/>
  <c r="S126" i="1" s="1"/>
  <c r="Q124" i="1"/>
  <c r="P124" i="1"/>
  <c r="O124" i="1"/>
  <c r="S124" i="1" s="1"/>
  <c r="Q123" i="1"/>
  <c r="P123" i="1"/>
  <c r="O123" i="1"/>
  <c r="S123" i="1" s="1"/>
  <c r="Q121" i="1"/>
  <c r="P121" i="1"/>
  <c r="Q120" i="1"/>
  <c r="P120" i="1"/>
  <c r="R120" i="1" s="1"/>
  <c r="W120" i="1" s="1"/>
  <c r="Q118" i="1"/>
  <c r="P118" i="1"/>
  <c r="Q116" i="1"/>
  <c r="P116" i="1"/>
  <c r="O116" i="1"/>
  <c r="S116" i="1" s="1"/>
  <c r="Q113" i="1"/>
  <c r="P113" i="1"/>
  <c r="O113" i="1"/>
  <c r="S113" i="1" s="1"/>
  <c r="Q112" i="1"/>
  <c r="P112" i="1"/>
  <c r="O112" i="1"/>
  <c r="S112" i="1" s="1"/>
  <c r="Q111" i="1"/>
  <c r="P111" i="1"/>
  <c r="O111" i="1"/>
  <c r="S111" i="1" s="1"/>
  <c r="Q110" i="1"/>
  <c r="P110" i="1"/>
  <c r="O110" i="1"/>
  <c r="S110" i="1" s="1"/>
  <c r="Q109" i="1"/>
  <c r="P109" i="1"/>
  <c r="O109" i="1"/>
  <c r="S109" i="1" s="1"/>
  <c r="Q108" i="1"/>
  <c r="P108" i="1"/>
  <c r="O108" i="1"/>
  <c r="S108" i="1" s="1"/>
  <c r="Q107" i="1"/>
  <c r="P107" i="1"/>
  <c r="O107" i="1"/>
  <c r="S107" i="1" s="1"/>
  <c r="Q106" i="1"/>
  <c r="P106" i="1"/>
  <c r="O106" i="1"/>
  <c r="S106" i="1" s="1"/>
  <c r="Q105" i="1"/>
  <c r="P105" i="1"/>
  <c r="O105" i="1"/>
  <c r="S105" i="1" s="1"/>
  <c r="Q104" i="1"/>
  <c r="P104" i="1"/>
  <c r="O104" i="1"/>
  <c r="S104" i="1" s="1"/>
  <c r="Q102" i="1"/>
  <c r="P102" i="1"/>
  <c r="O102" i="1"/>
  <c r="S102" i="1" s="1"/>
  <c r="Q100" i="1"/>
  <c r="P100" i="1"/>
  <c r="O100" i="1"/>
  <c r="S100" i="1" s="1"/>
  <c r="Q97" i="1"/>
  <c r="P97" i="1"/>
  <c r="Q96" i="1"/>
  <c r="P96" i="1"/>
  <c r="S96" i="1"/>
  <c r="Q95" i="1"/>
  <c r="P95" i="1"/>
  <c r="S95" i="1"/>
  <c r="Q94" i="1"/>
  <c r="P94" i="1"/>
  <c r="S94" i="1"/>
  <c r="Q93" i="1"/>
  <c r="P93" i="1"/>
  <c r="Q92" i="1"/>
  <c r="P92" i="1"/>
  <c r="O92" i="1"/>
  <c r="S92" i="1" s="1"/>
  <c r="Q90" i="1"/>
  <c r="P90" i="1"/>
  <c r="O90" i="1"/>
  <c r="S90" i="1" s="1"/>
  <c r="Q89" i="1"/>
  <c r="P89" i="1"/>
  <c r="O89" i="1"/>
  <c r="S89" i="1" s="1"/>
  <c r="Q87" i="1"/>
  <c r="P87" i="1"/>
  <c r="O87" i="1"/>
  <c r="S87" i="1" s="1"/>
  <c r="Q85" i="1"/>
  <c r="P85" i="1"/>
  <c r="O85" i="1"/>
  <c r="S85" i="1" s="1"/>
  <c r="Q84" i="1"/>
  <c r="P84" i="1"/>
  <c r="O84" i="1"/>
  <c r="S84" i="1" s="1"/>
  <c r="Q83" i="1"/>
  <c r="P83" i="1"/>
  <c r="O83" i="1"/>
  <c r="S83" i="1" s="1"/>
  <c r="Q82" i="1"/>
  <c r="P82" i="1"/>
  <c r="O82" i="1"/>
  <c r="S82" i="1" s="1"/>
  <c r="Q81" i="1"/>
  <c r="P81" i="1"/>
  <c r="O81" i="1"/>
  <c r="S81" i="1" s="1"/>
  <c r="Q80" i="1"/>
  <c r="P80" i="1"/>
  <c r="O80" i="1"/>
  <c r="S80" i="1" s="1"/>
  <c r="Q79" i="1"/>
  <c r="P79" i="1"/>
  <c r="O79" i="1"/>
  <c r="S79" i="1" s="1"/>
  <c r="Q78" i="1"/>
  <c r="P78" i="1"/>
  <c r="O78" i="1"/>
  <c r="S78" i="1" s="1"/>
  <c r="Q74" i="1"/>
  <c r="P74" i="1"/>
  <c r="O74" i="1"/>
  <c r="S74" i="1" s="1"/>
  <c r="Q72" i="1"/>
  <c r="P72" i="1"/>
  <c r="O72" i="1"/>
  <c r="S72" i="1" s="1"/>
  <c r="Q71" i="1"/>
  <c r="P71" i="1"/>
  <c r="O71" i="1"/>
  <c r="S71" i="1" s="1"/>
  <c r="Q70" i="1"/>
  <c r="P70" i="1"/>
  <c r="O70" i="1"/>
  <c r="S70" i="1" s="1"/>
  <c r="Q69" i="1"/>
  <c r="P69" i="1"/>
  <c r="O69" i="1"/>
  <c r="S69" i="1" s="1"/>
  <c r="Q68" i="1"/>
  <c r="P68" i="1"/>
  <c r="Q67" i="1"/>
  <c r="P67" i="1"/>
  <c r="O67" i="1"/>
  <c r="S67" i="1" s="1"/>
  <c r="Q64" i="1"/>
  <c r="P64" i="1"/>
  <c r="T64" i="1" s="1"/>
  <c r="O64" i="1"/>
  <c r="S64" i="1" s="1"/>
  <c r="Q63" i="1"/>
  <c r="P63" i="1"/>
  <c r="R61" i="1"/>
  <c r="R60" i="1"/>
  <c r="R59" i="1"/>
  <c r="Q57" i="1"/>
  <c r="R57" i="1" s="1"/>
  <c r="Q56" i="1"/>
  <c r="R56" i="1" s="1"/>
  <c r="Q55" i="1"/>
  <c r="R55" i="1" s="1"/>
  <c r="Q53" i="1"/>
  <c r="P53" i="1"/>
  <c r="O53" i="1"/>
  <c r="S53" i="1" s="1"/>
  <c r="Q45" i="1"/>
  <c r="P45" i="1"/>
  <c r="O45" i="1"/>
  <c r="S45" i="1" s="1"/>
  <c r="Q44" i="1"/>
  <c r="P44" i="1"/>
  <c r="O44" i="1"/>
  <c r="S44" i="1" s="1"/>
  <c r="Q43" i="1"/>
  <c r="P43" i="1"/>
  <c r="O43" i="1"/>
  <c r="S43" i="1" s="1"/>
  <c r="Q41" i="1"/>
  <c r="P41" i="1"/>
  <c r="O41" i="1"/>
  <c r="S41" i="1" s="1"/>
  <c r="Q40" i="1"/>
  <c r="P40" i="1"/>
  <c r="O40" i="1"/>
  <c r="S40" i="1" s="1"/>
  <c r="Q39" i="1"/>
  <c r="P39" i="1"/>
  <c r="O39" i="1"/>
  <c r="S39" i="1" s="1"/>
  <c r="Q38" i="1"/>
  <c r="P38" i="1"/>
  <c r="O38" i="1"/>
  <c r="S38" i="1" s="1"/>
  <c r="Q37" i="1"/>
  <c r="P37" i="1"/>
  <c r="O37" i="1"/>
  <c r="S37" i="1" s="1"/>
  <c r="Q36" i="1"/>
  <c r="P36" i="1"/>
  <c r="O36" i="1"/>
  <c r="S36" i="1" s="1"/>
  <c r="Q35" i="1"/>
  <c r="P35" i="1"/>
  <c r="O35" i="1"/>
  <c r="S35" i="1" s="1"/>
  <c r="Q34" i="1"/>
  <c r="P34" i="1"/>
  <c r="O34" i="1"/>
  <c r="S34" i="1" s="1"/>
  <c r="Q33" i="1"/>
  <c r="P33" i="1"/>
  <c r="O33" i="1"/>
  <c r="S33" i="1" s="1"/>
  <c r="Q32" i="1"/>
  <c r="P32" i="1"/>
  <c r="O32" i="1"/>
  <c r="S32" i="1" s="1"/>
  <c r="Q31" i="1"/>
  <c r="P31" i="1"/>
  <c r="O31" i="1"/>
  <c r="S31" i="1" s="1"/>
  <c r="Q30" i="1"/>
  <c r="P30" i="1"/>
  <c r="O30" i="1"/>
  <c r="S30" i="1" s="1"/>
  <c r="Q28" i="1"/>
  <c r="P28" i="1"/>
  <c r="O28" i="1"/>
  <c r="S28" i="1" s="1"/>
  <c r="Q27" i="1"/>
  <c r="P27" i="1"/>
  <c r="O27" i="1"/>
  <c r="S27" i="1" s="1"/>
  <c r="Q26" i="1"/>
  <c r="P26" i="1"/>
  <c r="O26" i="1"/>
  <c r="S26" i="1" s="1"/>
  <c r="Q25" i="1"/>
  <c r="P25" i="1"/>
  <c r="O25" i="1"/>
  <c r="S25" i="1" s="1"/>
  <c r="Q24" i="1"/>
  <c r="P24" i="1"/>
  <c r="O24" i="1"/>
  <c r="S24" i="1" s="1"/>
  <c r="Q23" i="1"/>
  <c r="P23" i="1"/>
  <c r="O23" i="1"/>
  <c r="S23" i="1" s="1"/>
  <c r="Q22" i="1"/>
  <c r="P22" i="1"/>
  <c r="O22" i="1"/>
  <c r="S22" i="1" s="1"/>
  <c r="Q21" i="1"/>
  <c r="P21" i="1"/>
  <c r="O21" i="1"/>
  <c r="S21" i="1" s="1"/>
  <c r="Q20" i="1"/>
  <c r="P20" i="1"/>
  <c r="O20" i="1"/>
  <c r="S20" i="1" s="1"/>
  <c r="Q19" i="1"/>
  <c r="P19" i="1"/>
  <c r="O19" i="1"/>
  <c r="S19" i="1" s="1"/>
  <c r="Q18" i="1"/>
  <c r="P18" i="1"/>
  <c r="O18" i="1"/>
  <c r="S18" i="1" s="1"/>
  <c r="Q119" i="1"/>
  <c r="P119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5" i="1"/>
  <c r="N634" i="1"/>
  <c r="N633" i="1"/>
  <c r="N632" i="1"/>
  <c r="N631" i="1"/>
  <c r="N630" i="1"/>
  <c r="N629" i="1"/>
  <c r="N628" i="1"/>
  <c r="N626" i="1"/>
  <c r="N625" i="1"/>
  <c r="N622" i="1"/>
  <c r="N620" i="1"/>
  <c r="N618" i="1"/>
  <c r="N617" i="1"/>
  <c r="N616" i="1"/>
  <c r="N614" i="1"/>
  <c r="N611" i="1"/>
  <c r="N610" i="1"/>
  <c r="N609" i="1"/>
  <c r="N608" i="1"/>
  <c r="N606" i="1"/>
  <c r="N605" i="1"/>
  <c r="N602" i="1"/>
  <c r="N600" i="1"/>
  <c r="N598" i="1"/>
  <c r="N597" i="1"/>
  <c r="N595" i="1"/>
  <c r="N593" i="1"/>
  <c r="N592" i="1"/>
  <c r="N591" i="1"/>
  <c r="N590" i="1"/>
  <c r="N588" i="1"/>
  <c r="N585" i="1"/>
  <c r="N584" i="1"/>
  <c r="N583" i="1"/>
  <c r="N582" i="1"/>
  <c r="N579" i="1"/>
  <c r="N578" i="1"/>
  <c r="N575" i="1"/>
  <c r="N574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48" i="1"/>
  <c r="N547" i="1"/>
  <c r="N546" i="1"/>
  <c r="N545" i="1"/>
  <c r="N543" i="1"/>
  <c r="N542" i="1"/>
  <c r="N540" i="1"/>
  <c r="N539" i="1"/>
  <c r="N536" i="1"/>
  <c r="N534" i="1"/>
  <c r="N532" i="1"/>
  <c r="N531" i="1"/>
  <c r="N530" i="1"/>
  <c r="N529" i="1"/>
  <c r="N528" i="1"/>
  <c r="N526" i="1"/>
  <c r="N523" i="1"/>
  <c r="N522" i="1"/>
  <c r="N521" i="1"/>
  <c r="N520" i="1"/>
  <c r="N519" i="1"/>
  <c r="N518" i="1"/>
  <c r="N517" i="1"/>
  <c r="N515" i="1"/>
  <c r="N512" i="1"/>
  <c r="N510" i="1"/>
  <c r="N508" i="1"/>
  <c r="N507" i="1"/>
  <c r="N505" i="1"/>
  <c r="N503" i="1"/>
  <c r="N502" i="1"/>
  <c r="N501" i="1"/>
  <c r="N500" i="1"/>
  <c r="N499" i="1"/>
  <c r="N498" i="1"/>
  <c r="N497" i="1"/>
  <c r="N495" i="1"/>
  <c r="N492" i="1"/>
  <c r="N491" i="1"/>
  <c r="N488" i="1"/>
  <c r="N485" i="1"/>
  <c r="N484" i="1"/>
  <c r="N479" i="1"/>
  <c r="N478" i="1"/>
  <c r="N477" i="1"/>
  <c r="N476" i="1"/>
  <c r="N475" i="1"/>
  <c r="N474" i="1"/>
  <c r="N473" i="1"/>
  <c r="N472" i="1"/>
  <c r="N470" i="1"/>
  <c r="N469" i="1"/>
  <c r="N468" i="1"/>
  <c r="N467" i="1"/>
  <c r="N466" i="1"/>
  <c r="N465" i="1"/>
  <c r="N464" i="1"/>
  <c r="N463" i="1"/>
  <c r="N461" i="1"/>
  <c r="N457" i="1"/>
  <c r="N456" i="1"/>
  <c r="N455" i="1"/>
  <c r="N453" i="1"/>
  <c r="N451" i="1"/>
  <c r="N450" i="1"/>
  <c r="N447" i="1"/>
  <c r="N446" i="1"/>
  <c r="N444" i="1"/>
  <c r="N442" i="1"/>
  <c r="N441" i="1"/>
  <c r="N440" i="1"/>
  <c r="N439" i="1"/>
  <c r="N437" i="1"/>
  <c r="N434" i="1"/>
  <c r="N433" i="1"/>
  <c r="N432" i="1"/>
  <c r="N431" i="1"/>
  <c r="N430" i="1"/>
  <c r="N429" i="1"/>
  <c r="N426" i="1"/>
  <c r="N424" i="1"/>
  <c r="N422" i="1"/>
  <c r="N421" i="1"/>
  <c r="N419" i="1"/>
  <c r="N418" i="1"/>
  <c r="N417" i="1"/>
  <c r="N416" i="1"/>
  <c r="N415" i="1"/>
  <c r="N414" i="1"/>
  <c r="N413" i="1"/>
  <c r="N412" i="1"/>
  <c r="N411" i="1"/>
  <c r="N410" i="1"/>
  <c r="N409" i="1"/>
  <c r="N407" i="1"/>
  <c r="N406" i="1"/>
  <c r="N403" i="1"/>
  <c r="N402" i="1"/>
  <c r="N399" i="1"/>
  <c r="N398" i="1"/>
  <c r="N397" i="1"/>
  <c r="N396" i="1"/>
  <c r="N395" i="1"/>
  <c r="N393" i="1"/>
  <c r="N392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40" i="1"/>
  <c r="N339" i="1"/>
  <c r="N338" i="1"/>
  <c r="N333" i="1"/>
  <c r="N332" i="1"/>
  <c r="N331" i="1"/>
  <c r="N330" i="1"/>
  <c r="N321" i="1"/>
  <c r="N320" i="1"/>
  <c r="N319" i="1"/>
  <c r="N318" i="1"/>
  <c r="N317" i="1"/>
  <c r="N316" i="1"/>
  <c r="N311" i="1"/>
  <c r="N310" i="1"/>
  <c r="N308" i="1"/>
  <c r="N307" i="1"/>
  <c r="N306" i="1"/>
  <c r="N305" i="1"/>
  <c r="N304" i="1"/>
  <c r="N303" i="1"/>
  <c r="N302" i="1"/>
  <c r="N301" i="1"/>
  <c r="N299" i="1"/>
  <c r="N298" i="1"/>
  <c r="N297" i="1"/>
  <c r="N296" i="1"/>
  <c r="N295" i="1"/>
  <c r="N294" i="1"/>
  <c r="N292" i="1"/>
  <c r="N291" i="1"/>
  <c r="N290" i="1"/>
  <c r="N288" i="1"/>
  <c r="N287" i="1"/>
  <c r="N286" i="1"/>
  <c r="N282" i="1"/>
  <c r="N280" i="1"/>
  <c r="N278" i="1"/>
  <c r="N277" i="1"/>
  <c r="N276" i="1"/>
  <c r="N275" i="1"/>
  <c r="N269" i="1"/>
  <c r="N268" i="1"/>
  <c r="N267" i="1"/>
  <c r="N266" i="1"/>
  <c r="N265" i="1"/>
  <c r="N264" i="1"/>
  <c r="N261" i="1"/>
  <c r="N260" i="1"/>
  <c r="N259" i="1"/>
  <c r="N258" i="1"/>
  <c r="N257" i="1"/>
  <c r="N256" i="1"/>
  <c r="N253" i="1"/>
  <c r="N252" i="1"/>
  <c r="N251" i="1"/>
  <c r="N250" i="1"/>
  <c r="N249" i="1"/>
  <c r="N248" i="1"/>
  <c r="N244" i="1"/>
  <c r="N243" i="1"/>
  <c r="N242" i="1"/>
  <c r="N241" i="1"/>
  <c r="N240" i="1"/>
  <c r="N239" i="1"/>
  <c r="N237" i="1"/>
  <c r="N236" i="1"/>
  <c r="N235" i="1"/>
  <c r="N234" i="1"/>
  <c r="N233" i="1"/>
  <c r="N232" i="1"/>
  <c r="N228" i="1"/>
  <c r="N227" i="1"/>
  <c r="N226" i="1"/>
  <c r="N225" i="1"/>
  <c r="N224" i="1"/>
  <c r="N223" i="1"/>
  <c r="N222" i="1"/>
  <c r="N217" i="1"/>
  <c r="N216" i="1"/>
  <c r="N215" i="1"/>
  <c r="N214" i="1"/>
  <c r="N213" i="1"/>
  <c r="N211" i="1"/>
  <c r="N210" i="1"/>
  <c r="N209" i="1"/>
  <c r="N208" i="1"/>
  <c r="N207" i="1"/>
  <c r="N206" i="1"/>
  <c r="N204" i="1"/>
  <c r="N203" i="1"/>
  <c r="N201" i="1"/>
  <c r="N200" i="1"/>
  <c r="N199" i="1"/>
  <c r="N198" i="1"/>
  <c r="N196" i="1"/>
  <c r="N195" i="1"/>
  <c r="N194" i="1"/>
  <c r="N193" i="1"/>
  <c r="N192" i="1"/>
  <c r="N191" i="1"/>
  <c r="N190" i="1"/>
  <c r="N189" i="1"/>
  <c r="N188" i="1"/>
  <c r="N184" i="1"/>
  <c r="N183" i="1"/>
  <c r="N182" i="1"/>
  <c r="N179" i="1"/>
  <c r="N178" i="1"/>
  <c r="N177" i="1"/>
  <c r="N175" i="1"/>
  <c r="N174" i="1"/>
  <c r="N173" i="1"/>
  <c r="N172" i="1"/>
  <c r="N170" i="1"/>
  <c r="N169" i="1"/>
  <c r="N168" i="1"/>
  <c r="N165" i="1"/>
  <c r="N164" i="1"/>
  <c r="N163" i="1"/>
  <c r="N161" i="1"/>
  <c r="N160" i="1"/>
  <c r="N159" i="1"/>
  <c r="N157" i="1"/>
  <c r="N156" i="1"/>
  <c r="N154" i="1"/>
  <c r="N153" i="1"/>
  <c r="N152" i="1"/>
  <c r="N151" i="1"/>
  <c r="N147" i="1"/>
  <c r="N146" i="1"/>
  <c r="N145" i="1"/>
  <c r="N144" i="1"/>
  <c r="N142" i="1"/>
  <c r="N140" i="1"/>
  <c r="N139" i="1"/>
  <c r="N138" i="1"/>
  <c r="N135" i="1"/>
  <c r="N134" i="1"/>
  <c r="N133" i="1"/>
  <c r="N132" i="1"/>
  <c r="N131" i="1"/>
  <c r="N130" i="1"/>
  <c r="N129" i="1"/>
  <c r="N128" i="1"/>
  <c r="N127" i="1"/>
  <c r="N126" i="1"/>
  <c r="N124" i="1"/>
  <c r="N123" i="1"/>
  <c r="N121" i="1"/>
  <c r="N119" i="1"/>
  <c r="N118" i="1"/>
  <c r="N116" i="1"/>
  <c r="N113" i="1"/>
  <c r="N112" i="1"/>
  <c r="N111" i="1"/>
  <c r="N110" i="1"/>
  <c r="N109" i="1"/>
  <c r="N108" i="1"/>
  <c r="N107" i="1"/>
  <c r="N106" i="1"/>
  <c r="N105" i="1"/>
  <c r="N104" i="1"/>
  <c r="N102" i="1"/>
  <c r="N100" i="1"/>
  <c r="N97" i="1"/>
  <c r="N96" i="1"/>
  <c r="N95" i="1"/>
  <c r="N94" i="1"/>
  <c r="N92" i="1"/>
  <c r="N90" i="1"/>
  <c r="N89" i="1"/>
  <c r="N87" i="1"/>
  <c r="N85" i="1"/>
  <c r="N84" i="1"/>
  <c r="N83" i="1"/>
  <c r="N82" i="1"/>
  <c r="N81" i="1"/>
  <c r="N80" i="1"/>
  <c r="N79" i="1"/>
  <c r="N78" i="1"/>
  <c r="N74" i="1"/>
  <c r="N72" i="1"/>
  <c r="N71" i="1"/>
  <c r="N70" i="1"/>
  <c r="N69" i="1"/>
  <c r="N67" i="1"/>
  <c r="N64" i="1"/>
  <c r="N63" i="1"/>
  <c r="N61" i="1"/>
  <c r="N60" i="1"/>
  <c r="N59" i="1"/>
  <c r="N57" i="1"/>
  <c r="N56" i="1"/>
  <c r="N55" i="1"/>
  <c r="N53" i="1"/>
  <c r="N45" i="1"/>
  <c r="N44" i="1"/>
  <c r="N43" i="1"/>
  <c r="N41" i="1"/>
  <c r="N40" i="1"/>
  <c r="N39" i="1"/>
  <c r="N38" i="1"/>
  <c r="N37" i="1"/>
  <c r="N36" i="1"/>
  <c r="N35" i="1"/>
  <c r="N34" i="1"/>
  <c r="N33" i="1"/>
  <c r="N32" i="1"/>
  <c r="N31" i="1"/>
  <c r="N30" i="1"/>
  <c r="N28" i="1"/>
  <c r="N27" i="1"/>
  <c r="N26" i="1"/>
  <c r="N25" i="1"/>
  <c r="N24" i="1"/>
  <c r="N23" i="1"/>
  <c r="N22" i="1"/>
  <c r="N21" i="1"/>
  <c r="N20" i="1"/>
  <c r="N19" i="1"/>
  <c r="N18" i="1"/>
  <c r="N274" i="1"/>
  <c r="M197" i="1"/>
  <c r="L197" i="1"/>
  <c r="K197" i="1"/>
  <c r="X197" i="1" s="1"/>
  <c r="M202" i="1"/>
  <c r="L202" i="1"/>
  <c r="K202" i="1"/>
  <c r="X202" i="1" s="1"/>
  <c r="K205" i="1"/>
  <c r="R119" i="1" l="1"/>
  <c r="T283" i="1"/>
  <c r="R283" i="1"/>
  <c r="W325" i="1"/>
  <c r="R63" i="1"/>
  <c r="R118" i="1"/>
  <c r="R121" i="1"/>
  <c r="W121" i="1" s="1"/>
  <c r="R289" i="1"/>
  <c r="R144" i="1"/>
  <c r="V144" i="1" s="1"/>
  <c r="R168" i="1"/>
  <c r="W168" i="1" s="1"/>
  <c r="R393" i="1"/>
  <c r="V393" i="1" s="1"/>
  <c r="R165" i="1"/>
  <c r="V165" i="1" s="1"/>
  <c r="R164" i="1"/>
  <c r="V164" i="1" s="1"/>
  <c r="R203" i="1"/>
  <c r="W203" i="1" s="1"/>
  <c r="R213" i="1"/>
  <c r="V213" i="1" s="1"/>
  <c r="R268" i="1"/>
  <c r="V268" i="1" s="1"/>
  <c r="R163" i="1"/>
  <c r="V163" i="1" s="1"/>
  <c r="R169" i="1"/>
  <c r="W169" i="1" s="1"/>
  <c r="E389" i="1"/>
  <c r="E388" i="1" s="1"/>
  <c r="R97" i="1"/>
  <c r="V97" i="1" s="1"/>
  <c r="R160" i="1"/>
  <c r="V160" i="1" s="1"/>
  <c r="R92" i="1"/>
  <c r="W92" i="1" s="1"/>
  <c r="R259" i="1"/>
  <c r="W259" i="1" s="1"/>
  <c r="R421" i="1"/>
  <c r="V421" i="1" s="1"/>
  <c r="R226" i="1"/>
  <c r="V226" i="1" s="1"/>
  <c r="E571" i="1"/>
  <c r="E570" i="1" s="1"/>
  <c r="R159" i="1"/>
  <c r="W159" i="1" s="1"/>
  <c r="R267" i="1"/>
  <c r="V267" i="1" s="1"/>
  <c r="R470" i="1"/>
  <c r="W470" i="1" s="1"/>
  <c r="R543" i="1"/>
  <c r="V543" i="1" s="1"/>
  <c r="E481" i="1"/>
  <c r="E480" i="1" s="1"/>
  <c r="R183" i="1"/>
  <c r="V183" i="1" s="1"/>
  <c r="R266" i="1"/>
  <c r="W266" i="1" s="1"/>
  <c r="N202" i="1"/>
  <c r="R182" i="1"/>
  <c r="V182" i="1" s="1"/>
  <c r="R260" i="1"/>
  <c r="V260" i="1" s="1"/>
  <c r="R264" i="1"/>
  <c r="V264" i="1" s="1"/>
  <c r="R265" i="1"/>
  <c r="W265" i="1" s="1"/>
  <c r="R294" i="1"/>
  <c r="V294" i="1" s="1"/>
  <c r="R318" i="1"/>
  <c r="W318" i="1" s="1"/>
  <c r="R402" i="1"/>
  <c r="V402" i="1" s="1"/>
  <c r="R409" i="1"/>
  <c r="V409" i="1" s="1"/>
  <c r="R542" i="1"/>
  <c r="V542" i="1" s="1"/>
  <c r="W160" i="1"/>
  <c r="N197" i="1"/>
  <c r="R200" i="1"/>
  <c r="R201" i="1"/>
  <c r="R280" i="1"/>
  <c r="V280" i="1" s="1"/>
  <c r="R64" i="1"/>
  <c r="R89" i="1"/>
  <c r="R151" i="1"/>
  <c r="R152" i="1"/>
  <c r="R153" i="1"/>
  <c r="R154" i="1"/>
  <c r="R156" i="1"/>
  <c r="R157" i="1"/>
  <c r="R172" i="1"/>
  <c r="R173" i="1"/>
  <c r="R174" i="1"/>
  <c r="R175" i="1"/>
  <c r="R215" i="1"/>
  <c r="R216" i="1"/>
  <c r="W144" i="1"/>
  <c r="V168" i="1"/>
  <c r="R53" i="1"/>
  <c r="R100" i="1"/>
  <c r="R102" i="1"/>
  <c r="R104" i="1"/>
  <c r="R105" i="1"/>
  <c r="R106" i="1"/>
  <c r="R107" i="1"/>
  <c r="R108" i="1"/>
  <c r="R109" i="1"/>
  <c r="R110" i="1"/>
  <c r="R111" i="1"/>
  <c r="R112" i="1"/>
  <c r="R113" i="1"/>
  <c r="R123" i="1"/>
  <c r="R177" i="1"/>
  <c r="R178" i="1"/>
  <c r="R256" i="1"/>
  <c r="R257" i="1"/>
  <c r="R258" i="1"/>
  <c r="R606" i="1"/>
  <c r="S606" i="1"/>
  <c r="R446" i="1"/>
  <c r="R539" i="1"/>
  <c r="R582" i="1"/>
  <c r="S582" i="1"/>
  <c r="R597" i="1"/>
  <c r="S597" i="1"/>
  <c r="R418" i="1"/>
  <c r="R429" i="1"/>
  <c r="R472" i="1"/>
  <c r="R485" i="1"/>
  <c r="R488" i="1"/>
  <c r="R491" i="1"/>
  <c r="R492" i="1"/>
  <c r="R515" i="1"/>
  <c r="R523" i="1"/>
  <c r="W523" i="1" s="1"/>
  <c r="R575" i="1"/>
  <c r="R579" i="1"/>
  <c r="S579" i="1"/>
  <c r="R633" i="1"/>
  <c r="S633" i="1"/>
  <c r="R396" i="1"/>
  <c r="R406" i="1"/>
  <c r="R411" i="1"/>
  <c r="W411" i="1" s="1"/>
  <c r="R412" i="1"/>
  <c r="V412" i="1" s="1"/>
  <c r="R424" i="1"/>
  <c r="R507" i="1"/>
  <c r="R528" i="1"/>
  <c r="R584" i="1"/>
  <c r="S584" i="1"/>
  <c r="R625" i="1"/>
  <c r="S625" i="1"/>
  <c r="R628" i="1"/>
  <c r="S628" i="1"/>
  <c r="R632" i="1"/>
  <c r="S632" i="1"/>
  <c r="R598" i="1"/>
  <c r="S598" i="1"/>
  <c r="R310" i="1"/>
  <c r="R240" i="1"/>
  <c r="W240" i="1" s="1"/>
  <c r="R410" i="1"/>
  <c r="V410" i="1" s="1"/>
  <c r="R355" i="1"/>
  <c r="V355" i="1" s="1"/>
  <c r="R364" i="1"/>
  <c r="W364" i="1" s="1"/>
  <c r="R387" i="1"/>
  <c r="V387" i="1" s="1"/>
  <c r="R292" i="1"/>
  <c r="V292" i="1" s="1"/>
  <c r="R290" i="1"/>
  <c r="R248" i="1"/>
  <c r="V248" i="1" s="1"/>
  <c r="R243" i="1"/>
  <c r="R139" i="1"/>
  <c r="R94" i="1"/>
  <c r="R605" i="1"/>
  <c r="S605" i="1"/>
  <c r="R403" i="1"/>
  <c r="R124" i="1"/>
  <c r="R214" i="1"/>
  <c r="V214" i="1" s="1"/>
  <c r="R634" i="1"/>
  <c r="S634" i="1"/>
  <c r="R451" i="1"/>
  <c r="R474" i="1"/>
  <c r="W474" i="1" s="1"/>
  <c r="R461" i="1"/>
  <c r="R508" i="1"/>
  <c r="R261" i="1"/>
  <c r="R249" i="1"/>
  <c r="W249" i="1" s="1"/>
  <c r="R251" i="1"/>
  <c r="R244" i="1"/>
  <c r="R242" i="1"/>
  <c r="R239" i="1"/>
  <c r="R241" i="1"/>
  <c r="R253" i="1"/>
  <c r="R252" i="1"/>
  <c r="R250" i="1"/>
  <c r="R611" i="1"/>
  <c r="S611" i="1"/>
  <c r="R661" i="1"/>
  <c r="S661" i="1"/>
  <c r="R559" i="1"/>
  <c r="V559" i="1" s="1"/>
  <c r="R554" i="1"/>
  <c r="V554" i="1" s="1"/>
  <c r="R521" i="1"/>
  <c r="V521" i="1" s="1"/>
  <c r="R519" i="1"/>
  <c r="W519" i="1" s="1"/>
  <c r="R495" i="1"/>
  <c r="W495" i="1" s="1"/>
  <c r="R392" i="1"/>
  <c r="V392" i="1" s="1"/>
  <c r="R376" i="1"/>
  <c r="V376" i="1" s="1"/>
  <c r="R377" i="1"/>
  <c r="W377" i="1" s="1"/>
  <c r="R378" i="1"/>
  <c r="V378" i="1" s="1"/>
  <c r="R379" i="1"/>
  <c r="V379" i="1" s="1"/>
  <c r="R344" i="1"/>
  <c r="V344" i="1" s="1"/>
  <c r="R345" i="1"/>
  <c r="V345" i="1" s="1"/>
  <c r="R274" i="1"/>
  <c r="V274" i="1" s="1"/>
  <c r="R275" i="1"/>
  <c r="R276" i="1"/>
  <c r="R291" i="1"/>
  <c r="W291" i="1" s="1"/>
  <c r="R145" i="1"/>
  <c r="W145" i="1" s="1"/>
  <c r="R135" i="1"/>
  <c r="R188" i="1"/>
  <c r="R622" i="1"/>
  <c r="S622" i="1"/>
  <c r="R138" i="1"/>
  <c r="R90" i="1"/>
  <c r="R204" i="1"/>
  <c r="R199" i="1"/>
  <c r="R583" i="1"/>
  <c r="S583" i="1"/>
  <c r="R629" i="1"/>
  <c r="S629" i="1"/>
  <c r="R578" i="1"/>
  <c r="R639" i="1"/>
  <c r="S639" i="1"/>
  <c r="R588" i="1"/>
  <c r="S588" i="1"/>
  <c r="R277" i="1"/>
  <c r="R316" i="1"/>
  <c r="V316" i="1" s="1"/>
  <c r="R317" i="1"/>
  <c r="W317" i="1" s="1"/>
  <c r="R346" i="1"/>
  <c r="W346" i="1" s="1"/>
  <c r="R338" i="1"/>
  <c r="R620" i="1"/>
  <c r="S620" i="1"/>
  <c r="R593" i="1"/>
  <c r="S593" i="1"/>
  <c r="R517" i="1"/>
  <c r="R522" i="1"/>
  <c r="V522" i="1" s="1"/>
  <c r="R520" i="1"/>
  <c r="R518" i="1"/>
  <c r="R662" i="1"/>
  <c r="S662" i="1"/>
  <c r="R663" i="1"/>
  <c r="S663" i="1"/>
  <c r="R631" i="1"/>
  <c r="R562" i="1"/>
  <c r="V562" i="1" s="1"/>
  <c r="R640" i="1"/>
  <c r="S640" i="1"/>
  <c r="R302" i="1"/>
  <c r="V302" i="1" s="1"/>
  <c r="R311" i="1"/>
  <c r="R635" i="1"/>
  <c r="S635" i="1"/>
  <c r="N93" i="1"/>
  <c r="W60" i="1"/>
  <c r="V60" i="1"/>
  <c r="V59" i="1"/>
  <c r="W59" i="1"/>
  <c r="V61" i="1"/>
  <c r="W61" i="1"/>
  <c r="V56" i="1"/>
  <c r="W56" i="1"/>
  <c r="W55" i="1"/>
  <c r="V55" i="1"/>
  <c r="V57" i="1"/>
  <c r="W57" i="1"/>
  <c r="R45" i="1"/>
  <c r="R222" i="1"/>
  <c r="V222" i="1" s="1"/>
  <c r="R645" i="1"/>
  <c r="S645" i="1"/>
  <c r="R656" i="1"/>
  <c r="S656" i="1"/>
  <c r="R642" i="1"/>
  <c r="S642" i="1"/>
  <c r="R643" i="1"/>
  <c r="S643" i="1"/>
  <c r="R647" i="1"/>
  <c r="S647" i="1"/>
  <c r="R651" i="1"/>
  <c r="S651" i="1"/>
  <c r="R553" i="1"/>
  <c r="W553" i="1" s="1"/>
  <c r="R555" i="1"/>
  <c r="R565" i="1"/>
  <c r="R566" i="1"/>
  <c r="R567" i="1"/>
  <c r="R568" i="1"/>
  <c r="R545" i="1"/>
  <c r="V545" i="1" s="1"/>
  <c r="R546" i="1"/>
  <c r="W546" i="1" s="1"/>
  <c r="R547" i="1"/>
  <c r="V547" i="1" s="1"/>
  <c r="R529" i="1"/>
  <c r="V529" i="1" s="1"/>
  <c r="R497" i="1"/>
  <c r="W497" i="1" s="1"/>
  <c r="R498" i="1"/>
  <c r="W498" i="1" s="1"/>
  <c r="R503" i="1"/>
  <c r="W503" i="1" s="1"/>
  <c r="R501" i="1"/>
  <c r="R476" i="1"/>
  <c r="R477" i="1"/>
  <c r="R463" i="1"/>
  <c r="W463" i="1" s="1"/>
  <c r="R464" i="1"/>
  <c r="R465" i="1"/>
  <c r="W465" i="1" s="1"/>
  <c r="R466" i="1"/>
  <c r="R467" i="1"/>
  <c r="W467" i="1" s="1"/>
  <c r="R468" i="1"/>
  <c r="R453" i="1"/>
  <c r="V453" i="1" s="1"/>
  <c r="R447" i="1"/>
  <c r="V447" i="1" s="1"/>
  <c r="R439" i="1"/>
  <c r="V439" i="1" s="1"/>
  <c r="R440" i="1"/>
  <c r="W440" i="1" s="1"/>
  <c r="R441" i="1"/>
  <c r="V441" i="1" s="1"/>
  <c r="R442" i="1"/>
  <c r="V442" i="1" s="1"/>
  <c r="R437" i="1"/>
  <c r="V437" i="1" s="1"/>
  <c r="R431" i="1"/>
  <c r="V431" i="1" s="1"/>
  <c r="R432" i="1"/>
  <c r="V432" i="1" s="1"/>
  <c r="R433" i="1"/>
  <c r="W433" i="1" s="1"/>
  <c r="R422" i="1"/>
  <c r="V422" i="1" s="1"/>
  <c r="R414" i="1"/>
  <c r="R398" i="1"/>
  <c r="V398" i="1" s="1"/>
  <c r="R399" i="1"/>
  <c r="R385" i="1"/>
  <c r="R386" i="1"/>
  <c r="R381" i="1"/>
  <c r="R382" i="1"/>
  <c r="R339" i="1"/>
  <c r="V339" i="1" s="1"/>
  <c r="R342" i="1"/>
  <c r="W342" i="1" s="1"/>
  <c r="R352" i="1"/>
  <c r="R349" i="1"/>
  <c r="R350" i="1"/>
  <c r="R333" i="1"/>
  <c r="R326" i="1"/>
  <c r="V326" i="1" s="1"/>
  <c r="R328" i="1"/>
  <c r="R297" i="1"/>
  <c r="R298" i="1"/>
  <c r="R299" i="1"/>
  <c r="R281" i="1"/>
  <c r="R284" i="1"/>
  <c r="R269" i="1"/>
  <c r="W269" i="1" s="1"/>
  <c r="R233" i="1"/>
  <c r="W233" i="1" s="1"/>
  <c r="R234" i="1"/>
  <c r="R235" i="1"/>
  <c r="V235" i="1" s="1"/>
  <c r="R236" i="1"/>
  <c r="V236" i="1" s="1"/>
  <c r="R224" i="1"/>
  <c r="V224" i="1" s="1"/>
  <c r="R227" i="1"/>
  <c r="R210" i="1"/>
  <c r="R206" i="1"/>
  <c r="W206" i="1" s="1"/>
  <c r="R207" i="1"/>
  <c r="W207" i="1" s="1"/>
  <c r="R208" i="1"/>
  <c r="W208" i="1" s="1"/>
  <c r="R198" i="1"/>
  <c r="W198" i="1" s="1"/>
  <c r="R190" i="1"/>
  <c r="W190" i="1" s="1"/>
  <c r="R191" i="1"/>
  <c r="W191" i="1" s="1"/>
  <c r="R192" i="1"/>
  <c r="W192" i="1" s="1"/>
  <c r="R193" i="1"/>
  <c r="V193" i="1" s="1"/>
  <c r="R194" i="1"/>
  <c r="R195" i="1"/>
  <c r="R161" i="1"/>
  <c r="W161" i="1" s="1"/>
  <c r="R142" i="1"/>
  <c r="W142" i="1" s="1"/>
  <c r="R127" i="1"/>
  <c r="W127" i="1" s="1"/>
  <c r="R128" i="1"/>
  <c r="W128" i="1" s="1"/>
  <c r="W118" i="1"/>
  <c r="V120" i="1"/>
  <c r="R96" i="1"/>
  <c r="W96" i="1" s="1"/>
  <c r="N68" i="1"/>
  <c r="R67" i="1"/>
  <c r="W67" i="1" s="1"/>
  <c r="R78" i="1"/>
  <c r="R79" i="1"/>
  <c r="R80" i="1"/>
  <c r="R81" i="1"/>
  <c r="R82" i="1"/>
  <c r="R83" i="1"/>
  <c r="R84" i="1"/>
  <c r="R85" i="1"/>
  <c r="R72" i="1"/>
  <c r="R44" i="1"/>
  <c r="V44" i="1" s="1"/>
  <c r="R33" i="1"/>
  <c r="V33" i="1" s="1"/>
  <c r="R34" i="1"/>
  <c r="W34" i="1" s="1"/>
  <c r="R484" i="1"/>
  <c r="R126" i="1"/>
  <c r="V126" i="1" s="1"/>
  <c r="R536" i="1"/>
  <c r="R534" i="1"/>
  <c r="R659" i="1"/>
  <c r="S659" i="1"/>
  <c r="R444" i="1"/>
  <c r="R644" i="1"/>
  <c r="S644" i="1"/>
  <c r="R658" i="1"/>
  <c r="S658" i="1"/>
  <c r="R351" i="1"/>
  <c r="R574" i="1"/>
  <c r="R608" i="1"/>
  <c r="S608" i="1"/>
  <c r="R609" i="1"/>
  <c r="S609" i="1"/>
  <c r="R610" i="1"/>
  <c r="S610" i="1"/>
  <c r="R657" i="1"/>
  <c r="S657" i="1"/>
  <c r="R434" i="1"/>
  <c r="R430" i="1"/>
  <c r="R415" i="1"/>
  <c r="R416" i="1"/>
  <c r="R413" i="1"/>
  <c r="R540" i="1"/>
  <c r="R286" i="1"/>
  <c r="R287" i="1"/>
  <c r="R95" i="1"/>
  <c r="R147" i="1"/>
  <c r="R146" i="1"/>
  <c r="R87" i="1"/>
  <c r="R189" i="1"/>
  <c r="R626" i="1"/>
  <c r="S626" i="1"/>
  <c r="R646" i="1"/>
  <c r="S646" i="1"/>
  <c r="R652" i="1"/>
  <c r="S652" i="1"/>
  <c r="R457" i="1"/>
  <c r="R455" i="1"/>
  <c r="R420" i="1"/>
  <c r="R419" i="1"/>
  <c r="V419" i="1" s="1"/>
  <c r="R395" i="1"/>
  <c r="R407" i="1"/>
  <c r="R397" i="1"/>
  <c r="R475" i="1"/>
  <c r="R473" i="1"/>
  <c r="R564" i="1"/>
  <c r="R561" i="1"/>
  <c r="R558" i="1"/>
  <c r="R557" i="1"/>
  <c r="R556" i="1"/>
  <c r="R526" i="1"/>
  <c r="R510" i="1"/>
  <c r="R505" i="1"/>
  <c r="R295" i="1"/>
  <c r="R296" i="1"/>
  <c r="R347" i="1"/>
  <c r="R341" i="1"/>
  <c r="R340" i="1"/>
  <c r="V340" i="1" s="1"/>
  <c r="R343" i="1"/>
  <c r="R380" i="1"/>
  <c r="R531" i="1"/>
  <c r="W531" i="1" s="1"/>
  <c r="R630" i="1"/>
  <c r="S630" i="1"/>
  <c r="S97" i="1"/>
  <c r="O93" i="1"/>
  <c r="R384" i="1"/>
  <c r="R660" i="1"/>
  <c r="S660" i="1"/>
  <c r="R648" i="1"/>
  <c r="S648" i="1"/>
  <c r="R650" i="1"/>
  <c r="S650" i="1"/>
  <c r="R479" i="1"/>
  <c r="R417" i="1"/>
  <c r="R184" i="1"/>
  <c r="R74" i="1"/>
  <c r="R140" i="1"/>
  <c r="V140" i="1" s="1"/>
  <c r="V203" i="1"/>
  <c r="R649" i="1"/>
  <c r="S649" i="1"/>
  <c r="R641" i="1"/>
  <c r="S641" i="1"/>
  <c r="R618" i="1"/>
  <c r="S618" i="1"/>
  <c r="R617" i="1"/>
  <c r="S617" i="1"/>
  <c r="R616" i="1"/>
  <c r="S616" i="1"/>
  <c r="R614" i="1"/>
  <c r="S614" i="1"/>
  <c r="R600" i="1"/>
  <c r="S600" i="1"/>
  <c r="R595" i="1"/>
  <c r="S595" i="1"/>
  <c r="R456" i="1"/>
  <c r="R450" i="1"/>
  <c r="R548" i="1"/>
  <c r="R532" i="1"/>
  <c r="R530" i="1"/>
  <c r="R502" i="1"/>
  <c r="R223" i="1"/>
  <c r="R225" i="1"/>
  <c r="R237" i="1"/>
  <c r="R232" i="1"/>
  <c r="R552" i="1"/>
  <c r="R278" i="1"/>
  <c r="R116" i="1"/>
  <c r="R209" i="1"/>
  <c r="R563" i="1"/>
  <c r="R560" i="1"/>
  <c r="R569" i="1"/>
  <c r="R40" i="1"/>
  <c r="V40" i="1" s="1"/>
  <c r="R383" i="1"/>
  <c r="R22" i="1"/>
  <c r="V22" i="1" s="1"/>
  <c r="R20" i="1"/>
  <c r="R18" i="1"/>
  <c r="R21" i="1"/>
  <c r="W21" i="1" s="1"/>
  <c r="R655" i="1"/>
  <c r="S655" i="1"/>
  <c r="R653" i="1"/>
  <c r="S653" i="1"/>
  <c r="R654" i="1"/>
  <c r="S654" i="1"/>
  <c r="R602" i="1"/>
  <c r="S602" i="1"/>
  <c r="R590" i="1"/>
  <c r="S590" i="1"/>
  <c r="R592" i="1"/>
  <c r="S592" i="1"/>
  <c r="R585" i="1"/>
  <c r="S585" i="1"/>
  <c r="R512" i="1"/>
  <c r="V512" i="1" s="1"/>
  <c r="R499" i="1"/>
  <c r="W499" i="1" s="1"/>
  <c r="R500" i="1"/>
  <c r="V500" i="1" s="1"/>
  <c r="R478" i="1"/>
  <c r="V478" i="1" s="1"/>
  <c r="R469" i="1"/>
  <c r="V469" i="1" s="1"/>
  <c r="R426" i="1"/>
  <c r="R356" i="1"/>
  <c r="R357" i="1"/>
  <c r="R358" i="1"/>
  <c r="R359" i="1"/>
  <c r="R360" i="1"/>
  <c r="R361" i="1"/>
  <c r="R362" i="1"/>
  <c r="R363" i="1"/>
  <c r="R365" i="1"/>
  <c r="R366" i="1"/>
  <c r="R367" i="1"/>
  <c r="R368" i="1"/>
  <c r="R369" i="1"/>
  <c r="R370" i="1"/>
  <c r="R371" i="1"/>
  <c r="R372" i="1"/>
  <c r="R373" i="1"/>
  <c r="R374" i="1"/>
  <c r="R375" i="1"/>
  <c r="W375" i="1" s="1"/>
  <c r="R330" i="1"/>
  <c r="R331" i="1"/>
  <c r="R332" i="1"/>
  <c r="R319" i="1"/>
  <c r="R320" i="1"/>
  <c r="R321" i="1"/>
  <c r="R301" i="1"/>
  <c r="R303" i="1"/>
  <c r="R304" i="1"/>
  <c r="R305" i="1"/>
  <c r="R306" i="1"/>
  <c r="R307" i="1"/>
  <c r="R308" i="1"/>
  <c r="R288" i="1"/>
  <c r="R228" i="1"/>
  <c r="V228" i="1" s="1"/>
  <c r="R217" i="1"/>
  <c r="W217" i="1" s="1"/>
  <c r="R211" i="1"/>
  <c r="R196" i="1"/>
  <c r="R179" i="1"/>
  <c r="R170" i="1"/>
  <c r="R130" i="1"/>
  <c r="V130" i="1" s="1"/>
  <c r="R131" i="1"/>
  <c r="W131" i="1" s="1"/>
  <c r="R132" i="1"/>
  <c r="W132" i="1" s="1"/>
  <c r="R133" i="1"/>
  <c r="V133" i="1" s="1"/>
  <c r="R134" i="1"/>
  <c r="W134" i="1" s="1"/>
  <c r="R129" i="1"/>
  <c r="R69" i="1"/>
  <c r="R70" i="1"/>
  <c r="R71" i="1"/>
  <c r="R43" i="1"/>
  <c r="V43" i="1" s="1"/>
  <c r="R24" i="1"/>
  <c r="W24" i="1" s="1"/>
  <c r="R37" i="1"/>
  <c r="W37" i="1" s="1"/>
  <c r="R35" i="1"/>
  <c r="W35" i="1" s="1"/>
  <c r="R41" i="1"/>
  <c r="V41" i="1" s="1"/>
  <c r="R39" i="1"/>
  <c r="R38" i="1"/>
  <c r="R36" i="1"/>
  <c r="R32" i="1"/>
  <c r="R31" i="1"/>
  <c r="R30" i="1"/>
  <c r="R28" i="1"/>
  <c r="R27" i="1"/>
  <c r="R26" i="1"/>
  <c r="R25" i="1"/>
  <c r="R23" i="1"/>
  <c r="R19" i="1"/>
  <c r="R591" i="1"/>
  <c r="S591" i="1"/>
  <c r="R348" i="1"/>
  <c r="M143" i="1"/>
  <c r="L143" i="1"/>
  <c r="K143" i="1"/>
  <c r="Z143" i="1"/>
  <c r="Y143" i="1"/>
  <c r="E143" i="1"/>
  <c r="D143" i="1"/>
  <c r="M150" i="1"/>
  <c r="L150" i="1"/>
  <c r="K150" i="1"/>
  <c r="Z150" i="1"/>
  <c r="Y150" i="1"/>
  <c r="M155" i="1"/>
  <c r="L155" i="1"/>
  <c r="K155" i="1"/>
  <c r="Z155" i="1"/>
  <c r="Y155" i="1"/>
  <c r="M158" i="1"/>
  <c r="L158" i="1"/>
  <c r="K158" i="1"/>
  <c r="Z158" i="1"/>
  <c r="Y158" i="1"/>
  <c r="X158" i="1"/>
  <c r="M162" i="1"/>
  <c r="L162" i="1"/>
  <c r="K162" i="1"/>
  <c r="Z162" i="1"/>
  <c r="Y162" i="1"/>
  <c r="M171" i="1"/>
  <c r="L171" i="1"/>
  <c r="K171" i="1"/>
  <c r="Z171" i="1"/>
  <c r="Y171" i="1"/>
  <c r="X171" i="1"/>
  <c r="M181" i="1"/>
  <c r="L181" i="1"/>
  <c r="K181" i="1"/>
  <c r="K180" i="1" s="1"/>
  <c r="Z181" i="1"/>
  <c r="Y181" i="1"/>
  <c r="X181" i="1"/>
  <c r="M176" i="1"/>
  <c r="L176" i="1"/>
  <c r="K176" i="1"/>
  <c r="Z176" i="1"/>
  <c r="Y176" i="1"/>
  <c r="M167" i="1"/>
  <c r="L167" i="1"/>
  <c r="K167" i="1"/>
  <c r="X167" i="1" s="1"/>
  <c r="Z167" i="1"/>
  <c r="Y167" i="1"/>
  <c r="C167" i="1"/>
  <c r="D167" i="1"/>
  <c r="E167" i="1"/>
  <c r="K125" i="1"/>
  <c r="X125" i="1" s="1"/>
  <c r="V169" i="1" l="1"/>
  <c r="X176" i="1"/>
  <c r="X162" i="1"/>
  <c r="X155" i="1"/>
  <c r="X150" i="1"/>
  <c r="X143" i="1"/>
  <c r="V121" i="1"/>
  <c r="Y180" i="1"/>
  <c r="Z180" i="1"/>
  <c r="V92" i="1"/>
  <c r="W226" i="1"/>
  <c r="W164" i="1"/>
  <c r="W393" i="1"/>
  <c r="W280" i="1"/>
  <c r="W402" i="1"/>
  <c r="W163" i="1"/>
  <c r="V433" i="1"/>
  <c r="W126" i="1"/>
  <c r="W376" i="1"/>
  <c r="V159" i="1"/>
  <c r="V269" i="1"/>
  <c r="W387" i="1"/>
  <c r="W268" i="1"/>
  <c r="V161" i="1"/>
  <c r="W260" i="1"/>
  <c r="V259" i="1"/>
  <c r="W182" i="1"/>
  <c r="W316" i="1"/>
  <c r="W165" i="1"/>
  <c r="W302" i="1"/>
  <c r="W97" i="1"/>
  <c r="V318" i="1"/>
  <c r="W421" i="1"/>
  <c r="W267" i="1"/>
  <c r="W183" i="1"/>
  <c r="M166" i="1"/>
  <c r="W542" i="1"/>
  <c r="W213" i="1"/>
  <c r="V523" i="1"/>
  <c r="W294" i="1"/>
  <c r="J167" i="1"/>
  <c r="P167" i="1"/>
  <c r="J162" i="1"/>
  <c r="P162" i="1"/>
  <c r="J155" i="1"/>
  <c r="P155" i="1"/>
  <c r="V474" i="1"/>
  <c r="W521" i="1"/>
  <c r="V317" i="1"/>
  <c r="V240" i="1"/>
  <c r="V265" i="1"/>
  <c r="W235" i="1"/>
  <c r="W412" i="1"/>
  <c r="W264" i="1"/>
  <c r="W355" i="1"/>
  <c r="V470" i="1"/>
  <c r="V266" i="1"/>
  <c r="Y149" i="1"/>
  <c r="W378" i="1"/>
  <c r="V291" i="1"/>
  <c r="W274" i="1"/>
  <c r="W543" i="1"/>
  <c r="Y166" i="1"/>
  <c r="Q143" i="1"/>
  <c r="V364" i="1"/>
  <c r="V67" i="1"/>
  <c r="W545" i="1"/>
  <c r="W379" i="1"/>
  <c r="Z149" i="1"/>
  <c r="Z166" i="1"/>
  <c r="P176" i="1"/>
  <c r="P171" i="1"/>
  <c r="P158" i="1"/>
  <c r="P150" i="1"/>
  <c r="W554" i="1"/>
  <c r="W409" i="1"/>
  <c r="V528" i="1"/>
  <c r="W528" i="1"/>
  <c r="W633" i="1"/>
  <c r="V633" i="1"/>
  <c r="V492" i="1"/>
  <c r="W492" i="1"/>
  <c r="V582" i="1"/>
  <c r="W582" i="1"/>
  <c r="V258" i="1"/>
  <c r="W258" i="1"/>
  <c r="V177" i="1"/>
  <c r="W177" i="1"/>
  <c r="V111" i="1"/>
  <c r="W111" i="1"/>
  <c r="V107" i="1"/>
  <c r="W107" i="1"/>
  <c r="V102" i="1"/>
  <c r="W102" i="1"/>
  <c r="V215" i="1"/>
  <c r="W215" i="1"/>
  <c r="V172" i="1"/>
  <c r="W172" i="1"/>
  <c r="V153" i="1"/>
  <c r="W153" i="1"/>
  <c r="V64" i="1"/>
  <c r="W64" i="1"/>
  <c r="V200" i="1"/>
  <c r="W200" i="1"/>
  <c r="Q167" i="1"/>
  <c r="N176" i="1"/>
  <c r="M180" i="1"/>
  <c r="Q181" i="1"/>
  <c r="O171" i="1"/>
  <c r="N171" i="1"/>
  <c r="Q162" i="1"/>
  <c r="Q155" i="1"/>
  <c r="N150" i="1"/>
  <c r="O150" i="1"/>
  <c r="W547" i="1"/>
  <c r="V233" i="1"/>
  <c r="V142" i="1"/>
  <c r="W410" i="1"/>
  <c r="V519" i="1"/>
  <c r="V632" i="1"/>
  <c r="W632" i="1"/>
  <c r="V625" i="1"/>
  <c r="W625" i="1"/>
  <c r="V507" i="1"/>
  <c r="W507" i="1"/>
  <c r="W406" i="1"/>
  <c r="V406" i="1"/>
  <c r="V491" i="1"/>
  <c r="W491" i="1"/>
  <c r="V429" i="1"/>
  <c r="W429" i="1"/>
  <c r="V539" i="1"/>
  <c r="W539" i="1"/>
  <c r="V257" i="1"/>
  <c r="W257" i="1"/>
  <c r="V123" i="1"/>
  <c r="W123" i="1"/>
  <c r="V110" i="1"/>
  <c r="W110" i="1"/>
  <c r="V106" i="1"/>
  <c r="W106" i="1"/>
  <c r="V100" i="1"/>
  <c r="W100" i="1"/>
  <c r="V175" i="1"/>
  <c r="W175" i="1"/>
  <c r="V157" i="1"/>
  <c r="W157" i="1"/>
  <c r="V152" i="1"/>
  <c r="W152" i="1"/>
  <c r="J150" i="1"/>
  <c r="V411" i="1"/>
  <c r="W424" i="1"/>
  <c r="V424" i="1"/>
  <c r="V579" i="1"/>
  <c r="W579" i="1"/>
  <c r="W488" i="1"/>
  <c r="V488" i="1"/>
  <c r="V597" i="1"/>
  <c r="W597" i="1"/>
  <c r="W446" i="1"/>
  <c r="V446" i="1"/>
  <c r="V256" i="1"/>
  <c r="W256" i="1"/>
  <c r="V113" i="1"/>
  <c r="W113" i="1"/>
  <c r="V109" i="1"/>
  <c r="W109" i="1"/>
  <c r="V105" i="1"/>
  <c r="W105" i="1"/>
  <c r="V53" i="1"/>
  <c r="W53" i="1"/>
  <c r="V174" i="1"/>
  <c r="W174" i="1"/>
  <c r="V156" i="1"/>
  <c r="W156" i="1"/>
  <c r="V151" i="1"/>
  <c r="W151" i="1"/>
  <c r="X180" i="1"/>
  <c r="J181" i="1"/>
  <c r="L180" i="1"/>
  <c r="P180" i="1" s="1"/>
  <c r="P181" i="1"/>
  <c r="V472" i="1"/>
  <c r="W472" i="1"/>
  <c r="J176" i="1"/>
  <c r="J171" i="1"/>
  <c r="J158" i="1"/>
  <c r="L149" i="1"/>
  <c r="F167" i="1"/>
  <c r="Q176" i="1"/>
  <c r="Q171" i="1"/>
  <c r="O162" i="1"/>
  <c r="N162" i="1"/>
  <c r="Q158" i="1"/>
  <c r="O155" i="1"/>
  <c r="N155" i="1"/>
  <c r="Q150" i="1"/>
  <c r="M149" i="1"/>
  <c r="L166" i="1"/>
  <c r="P166" i="1" s="1"/>
  <c r="J143" i="1"/>
  <c r="P143" i="1"/>
  <c r="W292" i="1"/>
  <c r="V628" i="1"/>
  <c r="W628" i="1"/>
  <c r="V584" i="1"/>
  <c r="W584" i="1"/>
  <c r="V396" i="1"/>
  <c r="W396" i="1"/>
  <c r="W575" i="1"/>
  <c r="V575" i="1"/>
  <c r="W515" i="1"/>
  <c r="V515" i="1"/>
  <c r="W485" i="1"/>
  <c r="V485" i="1"/>
  <c r="W418" i="1"/>
  <c r="V418" i="1"/>
  <c r="V606" i="1"/>
  <c r="W606" i="1"/>
  <c r="V178" i="1"/>
  <c r="W178" i="1"/>
  <c r="V112" i="1"/>
  <c r="W112" i="1"/>
  <c r="V108" i="1"/>
  <c r="W108" i="1"/>
  <c r="V104" i="1"/>
  <c r="W104" i="1"/>
  <c r="V216" i="1"/>
  <c r="W216" i="1"/>
  <c r="V173" i="1"/>
  <c r="W173" i="1"/>
  <c r="V154" i="1"/>
  <c r="W154" i="1"/>
  <c r="V89" i="1"/>
  <c r="W89" i="1"/>
  <c r="V201" i="1"/>
  <c r="W201" i="1"/>
  <c r="V598" i="1"/>
  <c r="W598" i="1"/>
  <c r="W326" i="1"/>
  <c r="W222" i="1"/>
  <c r="V498" i="1"/>
  <c r="V463" i="1"/>
  <c r="V440" i="1"/>
  <c r="W392" i="1"/>
  <c r="W248" i="1"/>
  <c r="V243" i="1"/>
  <c r="W243" i="1"/>
  <c r="W214" i="1"/>
  <c r="V206" i="1"/>
  <c r="W139" i="1"/>
  <c r="V139" i="1"/>
  <c r="V128" i="1"/>
  <c r="W94" i="1"/>
  <c r="V94" i="1"/>
  <c r="V34" i="1"/>
  <c r="V605" i="1"/>
  <c r="W605" i="1"/>
  <c r="V346" i="1"/>
  <c r="V546" i="1"/>
  <c r="W403" i="1"/>
  <c r="V403" i="1"/>
  <c r="V124" i="1"/>
  <c r="W124" i="1"/>
  <c r="V118" i="1"/>
  <c r="V634" i="1"/>
  <c r="W634" i="1"/>
  <c r="V451" i="1"/>
  <c r="W451" i="1"/>
  <c r="W461" i="1"/>
  <c r="V461" i="1"/>
  <c r="V508" i="1"/>
  <c r="W508" i="1"/>
  <c r="W345" i="1"/>
  <c r="V261" i="1"/>
  <c r="W261" i="1"/>
  <c r="V249" i="1"/>
  <c r="V251" i="1"/>
  <c r="W251" i="1"/>
  <c r="V244" i="1"/>
  <c r="W244" i="1"/>
  <c r="V242" i="1"/>
  <c r="W242" i="1"/>
  <c r="V239" i="1"/>
  <c r="W239" i="1"/>
  <c r="V241" i="1"/>
  <c r="W241" i="1"/>
  <c r="V253" i="1"/>
  <c r="W253" i="1"/>
  <c r="W252" i="1"/>
  <c r="V252" i="1"/>
  <c r="W250" i="1"/>
  <c r="V250" i="1"/>
  <c r="V611" i="1"/>
  <c r="W611" i="1"/>
  <c r="V503" i="1"/>
  <c r="V497" i="1"/>
  <c r="V495" i="1"/>
  <c r="V661" i="1"/>
  <c r="W661" i="1"/>
  <c r="W559" i="1"/>
  <c r="V553" i="1"/>
  <c r="V465" i="1"/>
  <c r="W437" i="1"/>
  <c r="W431" i="1"/>
  <c r="V377" i="1"/>
  <c r="W340" i="1"/>
  <c r="W339" i="1"/>
  <c r="W344" i="1"/>
  <c r="V207" i="1"/>
  <c r="V190" i="1"/>
  <c r="V191" i="1"/>
  <c r="V145" i="1"/>
  <c r="V131" i="1"/>
  <c r="V135" i="1"/>
  <c r="W135" i="1"/>
  <c r="V188" i="1"/>
  <c r="W188" i="1"/>
  <c r="V622" i="1"/>
  <c r="W622" i="1"/>
  <c r="W133" i="1"/>
  <c r="V132" i="1"/>
  <c r="W138" i="1"/>
  <c r="V138" i="1"/>
  <c r="V90" i="1"/>
  <c r="W90" i="1"/>
  <c r="V217" i="1"/>
  <c r="W204" i="1"/>
  <c r="V204" i="1"/>
  <c r="W199" i="1"/>
  <c r="V199" i="1"/>
  <c r="W583" i="1"/>
  <c r="V583" i="1"/>
  <c r="W629" i="1"/>
  <c r="V629" i="1"/>
  <c r="W578" i="1"/>
  <c r="V578" i="1"/>
  <c r="W639" i="1"/>
  <c r="V639" i="1"/>
  <c r="W588" i="1"/>
  <c r="V588" i="1"/>
  <c r="W441" i="1"/>
  <c r="V277" i="1"/>
  <c r="W277" i="1"/>
  <c r="V338" i="1"/>
  <c r="W338" i="1"/>
  <c r="W620" i="1"/>
  <c r="V620" i="1"/>
  <c r="W593" i="1"/>
  <c r="V593" i="1"/>
  <c r="W529" i="1"/>
  <c r="V517" i="1"/>
  <c r="W517" i="1"/>
  <c r="W522" i="1"/>
  <c r="W520" i="1"/>
  <c r="V520" i="1"/>
  <c r="V518" i="1"/>
  <c r="W518" i="1"/>
  <c r="W662" i="1"/>
  <c r="V662" i="1"/>
  <c r="W663" i="1"/>
  <c r="V663" i="1"/>
  <c r="W562" i="1"/>
  <c r="V192" i="1"/>
  <c r="V127" i="1"/>
  <c r="V640" i="1"/>
  <c r="W640" i="1"/>
  <c r="V311" i="1"/>
  <c r="W311" i="1"/>
  <c r="W432" i="1"/>
  <c r="W635" i="1"/>
  <c r="V635" i="1"/>
  <c r="W33" i="1"/>
  <c r="W41" i="1"/>
  <c r="W22" i="1"/>
  <c r="V45" i="1"/>
  <c r="W45" i="1"/>
  <c r="W651" i="1"/>
  <c r="V651" i="1"/>
  <c r="W643" i="1"/>
  <c r="V643" i="1"/>
  <c r="W656" i="1"/>
  <c r="V656" i="1"/>
  <c r="W647" i="1"/>
  <c r="V647" i="1"/>
  <c r="W642" i="1"/>
  <c r="V642" i="1"/>
  <c r="W645" i="1"/>
  <c r="V645" i="1"/>
  <c r="V555" i="1"/>
  <c r="W555" i="1"/>
  <c r="V567" i="1"/>
  <c r="W567" i="1"/>
  <c r="V565" i="1"/>
  <c r="W565" i="1"/>
  <c r="W566" i="1"/>
  <c r="V566" i="1"/>
  <c r="V531" i="1"/>
  <c r="V499" i="1"/>
  <c r="W501" i="1"/>
  <c r="V501" i="1"/>
  <c r="W477" i="1"/>
  <c r="V477" i="1"/>
  <c r="W478" i="1"/>
  <c r="W476" i="1"/>
  <c r="V476" i="1"/>
  <c r="V467" i="1"/>
  <c r="W466" i="1"/>
  <c r="V466" i="1"/>
  <c r="W468" i="1"/>
  <c r="V468" i="1"/>
  <c r="W464" i="1"/>
  <c r="V464" i="1"/>
  <c r="W453" i="1"/>
  <c r="W447" i="1"/>
  <c r="W439" i="1"/>
  <c r="W442" i="1"/>
  <c r="W419" i="1"/>
  <c r="W422" i="1"/>
  <c r="W414" i="1"/>
  <c r="V414" i="1"/>
  <c r="W398" i="1"/>
  <c r="V399" i="1"/>
  <c r="W399" i="1"/>
  <c r="V386" i="1"/>
  <c r="W386" i="1"/>
  <c r="V385" i="1"/>
  <c r="W385" i="1"/>
  <c r="V381" i="1"/>
  <c r="W381" i="1"/>
  <c r="V382" i="1"/>
  <c r="W382" i="1"/>
  <c r="V342" i="1"/>
  <c r="V350" i="1"/>
  <c r="W350" i="1"/>
  <c r="V349" i="1"/>
  <c r="W349" i="1"/>
  <c r="W352" i="1"/>
  <c r="V352" i="1"/>
  <c r="W333" i="1"/>
  <c r="V333" i="1"/>
  <c r="V328" i="1"/>
  <c r="W328" i="1"/>
  <c r="V299" i="1"/>
  <c r="W299" i="1"/>
  <c r="V298" i="1"/>
  <c r="W298" i="1"/>
  <c r="V284" i="1"/>
  <c r="W284" i="1"/>
  <c r="W236" i="1"/>
  <c r="V234" i="1"/>
  <c r="W234" i="1"/>
  <c r="W224" i="1"/>
  <c r="V227" i="1"/>
  <c r="W227" i="1"/>
  <c r="V208" i="1"/>
  <c r="V210" i="1"/>
  <c r="W210" i="1"/>
  <c r="V198" i="1"/>
  <c r="W193" i="1"/>
  <c r="W195" i="1"/>
  <c r="V195" i="1"/>
  <c r="V194" i="1"/>
  <c r="W194" i="1"/>
  <c r="W140" i="1"/>
  <c r="V96" i="1"/>
  <c r="W44" i="1"/>
  <c r="V79" i="1"/>
  <c r="W79" i="1"/>
  <c r="W80" i="1"/>
  <c r="V80" i="1"/>
  <c r="W72" i="1"/>
  <c r="V72" i="1"/>
  <c r="V82" i="1"/>
  <c r="W82" i="1"/>
  <c r="V78" i="1"/>
  <c r="W78" i="1"/>
  <c r="W84" i="1"/>
  <c r="V84" i="1"/>
  <c r="V83" i="1"/>
  <c r="W83" i="1"/>
  <c r="V85" i="1"/>
  <c r="W85" i="1"/>
  <c r="W81" i="1"/>
  <c r="V81" i="1"/>
  <c r="V37" i="1"/>
  <c r="V484" i="1"/>
  <c r="W484" i="1"/>
  <c r="V24" i="1"/>
  <c r="V536" i="1"/>
  <c r="W536" i="1"/>
  <c r="W534" i="1"/>
  <c r="V534" i="1"/>
  <c r="W659" i="1"/>
  <c r="V659" i="1"/>
  <c r="W444" i="1"/>
  <c r="V444" i="1"/>
  <c r="V644" i="1"/>
  <c r="W644" i="1"/>
  <c r="W658" i="1"/>
  <c r="V658" i="1"/>
  <c r="W351" i="1"/>
  <c r="V351" i="1"/>
  <c r="W574" i="1"/>
  <c r="V574" i="1"/>
  <c r="W608" i="1"/>
  <c r="V608" i="1"/>
  <c r="W609" i="1"/>
  <c r="V609" i="1"/>
  <c r="V610" i="1"/>
  <c r="W610" i="1"/>
  <c r="V657" i="1"/>
  <c r="W657" i="1"/>
  <c r="V434" i="1"/>
  <c r="W434" i="1"/>
  <c r="W430" i="1"/>
  <c r="V430" i="1"/>
  <c r="V134" i="1"/>
  <c r="W130" i="1"/>
  <c r="W415" i="1"/>
  <c r="V415" i="1"/>
  <c r="V416" i="1"/>
  <c r="W416" i="1"/>
  <c r="V413" i="1"/>
  <c r="W413" i="1"/>
  <c r="V540" i="1"/>
  <c r="W540" i="1"/>
  <c r="W287" i="1"/>
  <c r="V287" i="1"/>
  <c r="V95" i="1"/>
  <c r="W95" i="1"/>
  <c r="V147" i="1"/>
  <c r="W147" i="1"/>
  <c r="O143" i="1"/>
  <c r="N143" i="1"/>
  <c r="V146" i="1"/>
  <c r="W146" i="1"/>
  <c r="V87" i="1"/>
  <c r="W87" i="1"/>
  <c r="V189" i="1"/>
  <c r="W189" i="1"/>
  <c r="W626" i="1"/>
  <c r="V626" i="1"/>
  <c r="W646" i="1"/>
  <c r="V646" i="1"/>
  <c r="V652" i="1"/>
  <c r="W652" i="1"/>
  <c r="V457" i="1"/>
  <c r="W457" i="1"/>
  <c r="V455" i="1"/>
  <c r="W455" i="1"/>
  <c r="W407" i="1"/>
  <c r="V407" i="1"/>
  <c r="V397" i="1"/>
  <c r="W397" i="1"/>
  <c r="V475" i="1"/>
  <c r="W475" i="1"/>
  <c r="W473" i="1"/>
  <c r="V473" i="1"/>
  <c r="W556" i="1"/>
  <c r="V556" i="1"/>
  <c r="W526" i="1"/>
  <c r="V526" i="1"/>
  <c r="W510" i="1"/>
  <c r="V510" i="1"/>
  <c r="W505" i="1"/>
  <c r="V505" i="1"/>
  <c r="W295" i="1"/>
  <c r="V295" i="1"/>
  <c r="V296" i="1"/>
  <c r="W296" i="1"/>
  <c r="V347" i="1"/>
  <c r="W347" i="1"/>
  <c r="V341" i="1"/>
  <c r="W341" i="1"/>
  <c r="W343" i="1"/>
  <c r="V343" i="1"/>
  <c r="V380" i="1"/>
  <c r="W380" i="1"/>
  <c r="W630" i="1"/>
  <c r="V630" i="1"/>
  <c r="V21" i="1"/>
  <c r="R93" i="1"/>
  <c r="W228" i="1"/>
  <c r="V384" i="1"/>
  <c r="W384" i="1"/>
  <c r="W660" i="1"/>
  <c r="V660" i="1"/>
  <c r="V648" i="1"/>
  <c r="W648" i="1"/>
  <c r="W650" i="1"/>
  <c r="V650" i="1"/>
  <c r="W479" i="1"/>
  <c r="V479" i="1"/>
  <c r="N181" i="1"/>
  <c r="O181" i="1"/>
  <c r="W184" i="1"/>
  <c r="V184" i="1"/>
  <c r="W74" i="1"/>
  <c r="V74" i="1"/>
  <c r="V649" i="1"/>
  <c r="W649" i="1"/>
  <c r="V641" i="1"/>
  <c r="W641" i="1"/>
  <c r="V618" i="1"/>
  <c r="W618" i="1"/>
  <c r="W617" i="1"/>
  <c r="V617" i="1"/>
  <c r="W616" i="1"/>
  <c r="V616" i="1"/>
  <c r="V614" i="1"/>
  <c r="W614" i="1"/>
  <c r="W600" i="1"/>
  <c r="V600" i="1"/>
  <c r="V595" i="1"/>
  <c r="W595" i="1"/>
  <c r="W456" i="1"/>
  <c r="V456" i="1"/>
  <c r="V450" i="1"/>
  <c r="W450" i="1"/>
  <c r="V548" i="1"/>
  <c r="W548" i="1"/>
  <c r="V532" i="1"/>
  <c r="W532" i="1"/>
  <c r="V530" i="1"/>
  <c r="W530" i="1"/>
  <c r="W502" i="1"/>
  <c r="V502" i="1"/>
  <c r="V223" i="1"/>
  <c r="W223" i="1"/>
  <c r="W225" i="1"/>
  <c r="V225" i="1"/>
  <c r="W237" i="1"/>
  <c r="V237" i="1"/>
  <c r="W232" i="1"/>
  <c r="V232" i="1"/>
  <c r="W552" i="1"/>
  <c r="V552" i="1"/>
  <c r="V116" i="1"/>
  <c r="W116" i="1"/>
  <c r="V209" i="1"/>
  <c r="W209" i="1"/>
  <c r="W512" i="1"/>
  <c r="V375" i="1"/>
  <c r="W40" i="1"/>
  <c r="V383" i="1"/>
  <c r="W383" i="1"/>
  <c r="N158" i="1"/>
  <c r="O158" i="1"/>
  <c r="K149" i="1"/>
  <c r="V35" i="1"/>
  <c r="W653" i="1"/>
  <c r="V653" i="1"/>
  <c r="W654" i="1"/>
  <c r="V654" i="1"/>
  <c r="W655" i="1"/>
  <c r="V655" i="1"/>
  <c r="V602" i="1"/>
  <c r="W602" i="1"/>
  <c r="W592" i="1"/>
  <c r="V592" i="1"/>
  <c r="V590" i="1"/>
  <c r="W590" i="1"/>
  <c r="V585" i="1"/>
  <c r="W585" i="1"/>
  <c r="W500" i="1"/>
  <c r="W469" i="1"/>
  <c r="W426" i="1"/>
  <c r="V426" i="1"/>
  <c r="W374" i="1"/>
  <c r="V374" i="1"/>
  <c r="V366" i="1"/>
  <c r="W366" i="1"/>
  <c r="V357" i="1"/>
  <c r="W357" i="1"/>
  <c r="V373" i="1"/>
  <c r="W373" i="1"/>
  <c r="W369" i="1"/>
  <c r="V369" i="1"/>
  <c r="V365" i="1"/>
  <c r="W365" i="1"/>
  <c r="W360" i="1"/>
  <c r="V360" i="1"/>
  <c r="V356" i="1"/>
  <c r="W356" i="1"/>
  <c r="V370" i="1"/>
  <c r="W370" i="1"/>
  <c r="W372" i="1"/>
  <c r="V372" i="1"/>
  <c r="W368" i="1"/>
  <c r="V368" i="1"/>
  <c r="V363" i="1"/>
  <c r="W363" i="1"/>
  <c r="W359" i="1"/>
  <c r="V359" i="1"/>
  <c r="V361" i="1"/>
  <c r="W361" i="1"/>
  <c r="V371" i="1"/>
  <c r="W371" i="1"/>
  <c r="W367" i="1"/>
  <c r="V367" i="1"/>
  <c r="V362" i="1"/>
  <c r="W362" i="1"/>
  <c r="V358" i="1"/>
  <c r="W358" i="1"/>
  <c r="V332" i="1"/>
  <c r="W332" i="1"/>
  <c r="W331" i="1"/>
  <c r="V331" i="1"/>
  <c r="W330" i="1"/>
  <c r="V330" i="1"/>
  <c r="V321" i="1"/>
  <c r="W321" i="1"/>
  <c r="W320" i="1"/>
  <c r="V320" i="1"/>
  <c r="V319" i="1"/>
  <c r="W319" i="1"/>
  <c r="W307" i="1"/>
  <c r="V307" i="1"/>
  <c r="V306" i="1"/>
  <c r="W306" i="1"/>
  <c r="W305" i="1"/>
  <c r="V305" i="1"/>
  <c r="V211" i="1"/>
  <c r="W211" i="1"/>
  <c r="V196" i="1"/>
  <c r="W196" i="1"/>
  <c r="O176" i="1"/>
  <c r="W179" i="1"/>
  <c r="V179" i="1"/>
  <c r="O167" i="1"/>
  <c r="S167" i="1" s="1"/>
  <c r="K166" i="1"/>
  <c r="X166" i="1" s="1"/>
  <c r="N167" i="1"/>
  <c r="V170" i="1"/>
  <c r="W170" i="1"/>
  <c r="V129" i="1"/>
  <c r="W129" i="1"/>
  <c r="V71" i="1"/>
  <c r="W71" i="1"/>
  <c r="V70" i="1"/>
  <c r="W70" i="1"/>
  <c r="V69" i="1"/>
  <c r="W69" i="1"/>
  <c r="W43" i="1"/>
  <c r="W39" i="1"/>
  <c r="V39" i="1"/>
  <c r="V38" i="1"/>
  <c r="W38" i="1"/>
  <c r="V36" i="1"/>
  <c r="W36" i="1"/>
  <c r="V32" i="1"/>
  <c r="W32" i="1"/>
  <c r="W31" i="1"/>
  <c r="V31" i="1"/>
  <c r="V30" i="1"/>
  <c r="W30" i="1"/>
  <c r="V28" i="1"/>
  <c r="W28" i="1"/>
  <c r="V27" i="1"/>
  <c r="W27" i="1"/>
  <c r="W26" i="1"/>
  <c r="V26" i="1"/>
  <c r="V25" i="1"/>
  <c r="W25" i="1"/>
  <c r="V23" i="1"/>
  <c r="W23" i="1"/>
  <c r="V591" i="1"/>
  <c r="W591" i="1"/>
  <c r="W348" i="1"/>
  <c r="V348" i="1"/>
  <c r="Q180" i="1" l="1"/>
  <c r="X149" i="1"/>
  <c r="J180" i="1"/>
  <c r="Y148" i="1"/>
  <c r="Q166" i="1"/>
  <c r="J149" i="1"/>
  <c r="J166" i="1"/>
  <c r="Z148" i="1"/>
  <c r="R171" i="1"/>
  <c r="R162" i="1"/>
  <c r="P149" i="1"/>
  <c r="L148" i="1"/>
  <c r="P148" i="1" s="1"/>
  <c r="Q149" i="1"/>
  <c r="M148" i="1"/>
  <c r="R155" i="1"/>
  <c r="R150" i="1"/>
  <c r="R176" i="1"/>
  <c r="R143" i="1"/>
  <c r="R181" i="1"/>
  <c r="R167" i="1"/>
  <c r="W167" i="1" s="1"/>
  <c r="W119" i="1"/>
  <c r="V119" i="1"/>
  <c r="N149" i="1"/>
  <c r="O149" i="1"/>
  <c r="R158" i="1"/>
  <c r="N166" i="1"/>
  <c r="O166" i="1"/>
  <c r="P15" i="3"/>
  <c r="O15" i="3"/>
  <c r="V167" i="1" l="1"/>
  <c r="Q148" i="1"/>
  <c r="R149" i="1"/>
  <c r="R166" i="1"/>
  <c r="M17" i="1"/>
  <c r="L17" i="1"/>
  <c r="E17" i="1"/>
  <c r="D17" i="1"/>
  <c r="Q17" i="1"/>
  <c r="P17" i="1"/>
  <c r="K17" i="1"/>
  <c r="P22" i="3"/>
  <c r="P21" i="3"/>
  <c r="P20" i="3"/>
  <c r="P19" i="3"/>
  <c r="P16" i="3"/>
  <c r="P14" i="3"/>
  <c r="P13" i="3"/>
  <c r="P12" i="3"/>
  <c r="P10" i="3"/>
  <c r="E22" i="3"/>
  <c r="E21" i="3"/>
  <c r="E20" i="3"/>
  <c r="E19" i="3"/>
  <c r="D558" i="1"/>
  <c r="C445" i="1"/>
  <c r="C443" i="1"/>
  <c r="C420" i="1"/>
  <c r="F558" i="1" l="1"/>
  <c r="T558" i="1"/>
  <c r="S420" i="1"/>
  <c r="N17" i="1"/>
  <c r="J17" i="1"/>
  <c r="O17" i="1"/>
  <c r="S17" i="1" s="1"/>
  <c r="V558" i="1" l="1"/>
  <c r="W558" i="1"/>
  <c r="R17" i="1"/>
  <c r="L15" i="3"/>
  <c r="E293" i="1" l="1"/>
  <c r="E263" i="1"/>
  <c r="E262" i="1" s="1"/>
  <c r="E255" i="1"/>
  <c r="E254" i="1" s="1"/>
  <c r="E247" i="1"/>
  <c r="E246" i="1" s="1"/>
  <c r="E238" i="1"/>
  <c r="E231" i="1"/>
  <c r="E230" i="1" s="1"/>
  <c r="E229" i="1" s="1"/>
  <c r="E221" i="1"/>
  <c r="E220" i="1" s="1"/>
  <c r="E219" i="1" s="1"/>
  <c r="E212" i="1"/>
  <c r="E205" i="1"/>
  <c r="E202" i="1"/>
  <c r="E197" i="1"/>
  <c r="E187" i="1"/>
  <c r="E181" i="1"/>
  <c r="E180" i="1" s="1"/>
  <c r="D181" i="1"/>
  <c r="D180" i="1" s="1"/>
  <c r="E176" i="1"/>
  <c r="E171" i="1"/>
  <c r="E162" i="1"/>
  <c r="E158" i="1"/>
  <c r="E155" i="1"/>
  <c r="E150" i="1"/>
  <c r="E141" i="1"/>
  <c r="E137" i="1"/>
  <c r="E125" i="1"/>
  <c r="E122" i="1"/>
  <c r="E117" i="1"/>
  <c r="E115" i="1"/>
  <c r="E103" i="1"/>
  <c r="E101" i="1"/>
  <c r="E99" i="1"/>
  <c r="E93" i="1"/>
  <c r="E91" i="1"/>
  <c r="E88" i="1"/>
  <c r="E86" i="1"/>
  <c r="E68" i="1"/>
  <c r="E66" i="1"/>
  <c r="E62" i="1"/>
  <c r="E58" i="1"/>
  <c r="E54" i="1"/>
  <c r="E52" i="1"/>
  <c r="E42" i="1"/>
  <c r="E16" i="1" s="1"/>
  <c r="E15" i="1" s="1"/>
  <c r="D310" i="1"/>
  <c r="C304" i="1"/>
  <c r="E166" i="1" l="1"/>
  <c r="F303" i="1"/>
  <c r="S303" i="1"/>
  <c r="F304" i="1"/>
  <c r="S304" i="1"/>
  <c r="F310" i="1"/>
  <c r="T310" i="1"/>
  <c r="F308" i="1"/>
  <c r="S308" i="1"/>
  <c r="E149" i="1"/>
  <c r="E114" i="1"/>
  <c r="E65" i="1"/>
  <c r="E245" i="1"/>
  <c r="E218" i="1" s="1"/>
  <c r="E16" i="3" s="1"/>
  <c r="E186" i="1"/>
  <c r="E185" i="1" s="1"/>
  <c r="E14" i="3" s="1"/>
  <c r="E98" i="1"/>
  <c r="E51" i="1"/>
  <c r="E14" i="1"/>
  <c r="E10" i="3" s="1"/>
  <c r="C301" i="1"/>
  <c r="C297" i="1"/>
  <c r="S289" i="1"/>
  <c r="T288" i="1"/>
  <c r="E288" i="1"/>
  <c r="U288" i="1" s="1"/>
  <c r="S283" i="1"/>
  <c r="D282" i="1"/>
  <c r="T282" i="1" s="1"/>
  <c r="E282" i="1"/>
  <c r="U282" i="1" s="1"/>
  <c r="D281" i="1"/>
  <c r="T281" i="1" s="1"/>
  <c r="E281" i="1"/>
  <c r="U281" i="1" s="1"/>
  <c r="D279" i="1"/>
  <c r="T279" i="1" s="1"/>
  <c r="S279" i="1"/>
  <c r="T278" i="1"/>
  <c r="E278" i="1"/>
  <c r="M58" i="1"/>
  <c r="L58" i="1"/>
  <c r="K58" i="1"/>
  <c r="Z58" i="1"/>
  <c r="Y58" i="1"/>
  <c r="D58" i="1"/>
  <c r="C58" i="1"/>
  <c r="Z54" i="1"/>
  <c r="D54" i="1"/>
  <c r="M54" i="1"/>
  <c r="L54" i="1"/>
  <c r="K54" i="1"/>
  <c r="C54" i="1"/>
  <c r="Q54" i="1" l="1"/>
  <c r="P58" i="1"/>
  <c r="F54" i="1"/>
  <c r="E148" i="1"/>
  <c r="E15" i="3" s="1"/>
  <c r="F290" i="1"/>
  <c r="T290" i="1"/>
  <c r="Q58" i="1"/>
  <c r="E273" i="1"/>
  <c r="E272" i="1" s="1"/>
  <c r="E271" i="1" s="1"/>
  <c r="E270" i="1" s="1"/>
  <c r="E17" i="3" s="1"/>
  <c r="U278" i="1"/>
  <c r="F282" i="1"/>
  <c r="S282" i="1"/>
  <c r="F288" i="1"/>
  <c r="S288" i="1"/>
  <c r="F297" i="1"/>
  <c r="S297" i="1"/>
  <c r="V308" i="1"/>
  <c r="W308" i="1"/>
  <c r="N54" i="1"/>
  <c r="F275" i="1"/>
  <c r="T275" i="1"/>
  <c r="F281" i="1"/>
  <c r="S281" i="1"/>
  <c r="F301" i="1"/>
  <c r="S301" i="1"/>
  <c r="V310" i="1"/>
  <c r="W310" i="1"/>
  <c r="W303" i="1"/>
  <c r="V303" i="1"/>
  <c r="F278" i="1"/>
  <c r="S278" i="1"/>
  <c r="W304" i="1"/>
  <c r="V304" i="1"/>
  <c r="F58" i="1"/>
  <c r="N58" i="1"/>
  <c r="F276" i="1"/>
  <c r="T276" i="1"/>
  <c r="F279" i="1"/>
  <c r="W279" i="1" s="1"/>
  <c r="F283" i="1"/>
  <c r="F289" i="1"/>
  <c r="W289" i="1" s="1"/>
  <c r="E136" i="1"/>
  <c r="E50" i="1" s="1"/>
  <c r="Y54" i="1"/>
  <c r="X54" i="1"/>
  <c r="X58" i="1"/>
  <c r="C471" i="1"/>
  <c r="C460" i="1"/>
  <c r="C408" i="1"/>
  <c r="C401" i="1"/>
  <c r="C337" i="1"/>
  <c r="E314" i="1"/>
  <c r="E324" i="1"/>
  <c r="C263" i="1"/>
  <c r="C255" i="1"/>
  <c r="C247" i="1"/>
  <c r="C238" i="1"/>
  <c r="C231" i="1"/>
  <c r="C143" i="1"/>
  <c r="C137" i="1"/>
  <c r="C125" i="1"/>
  <c r="C103" i="1"/>
  <c r="C93" i="1"/>
  <c r="C91" i="1"/>
  <c r="C88" i="1"/>
  <c r="C68" i="1"/>
  <c r="F17" i="1"/>
  <c r="F9" i="1"/>
  <c r="H9" i="1" s="1"/>
  <c r="J58" i="1" l="1"/>
  <c r="P54" i="1"/>
  <c r="W283" i="1"/>
  <c r="V283" i="1"/>
  <c r="J54" i="1"/>
  <c r="C262" i="1"/>
  <c r="V276" i="1"/>
  <c r="W276" i="1"/>
  <c r="W278" i="1"/>
  <c r="V278" i="1"/>
  <c r="V281" i="1"/>
  <c r="W281" i="1"/>
  <c r="W297" i="1"/>
  <c r="V297" i="1"/>
  <c r="W282" i="1"/>
  <c r="V282" i="1"/>
  <c r="V289" i="1"/>
  <c r="V279" i="1"/>
  <c r="O58" i="1"/>
  <c r="W301" i="1"/>
  <c r="V301" i="1"/>
  <c r="W275" i="1"/>
  <c r="V275" i="1"/>
  <c r="S93" i="1"/>
  <c r="F143" i="1"/>
  <c r="S143" i="1"/>
  <c r="O54" i="1"/>
  <c r="V288" i="1"/>
  <c r="W288" i="1"/>
  <c r="V290" i="1"/>
  <c r="W290" i="1"/>
  <c r="V17" i="1"/>
  <c r="W17" i="1"/>
  <c r="E49" i="1"/>
  <c r="E13" i="3" s="1"/>
  <c r="E313" i="1"/>
  <c r="E323" i="1"/>
  <c r="E322" i="1"/>
  <c r="C230" i="1"/>
  <c r="W143" i="1" l="1"/>
  <c r="V143" i="1"/>
  <c r="E48" i="1"/>
  <c r="E12" i="3" s="1"/>
  <c r="S54" i="1"/>
  <c r="R54" i="1"/>
  <c r="S58" i="1"/>
  <c r="R58" i="1"/>
  <c r="E312" i="1"/>
  <c r="C638" i="1"/>
  <c r="C631" i="1"/>
  <c r="S631" i="1" s="1"/>
  <c r="M604" i="1"/>
  <c r="L604" i="1"/>
  <c r="K604" i="1"/>
  <c r="X604" i="1" s="1"/>
  <c r="D604" i="1"/>
  <c r="C604" i="1"/>
  <c r="M577" i="1"/>
  <c r="L577" i="1"/>
  <c r="K577" i="1"/>
  <c r="D577" i="1"/>
  <c r="D576" i="1" s="1"/>
  <c r="C577" i="1"/>
  <c r="C573" i="1"/>
  <c r="D569" i="1"/>
  <c r="T569" i="1" s="1"/>
  <c r="C569" i="1"/>
  <c r="D568" i="1"/>
  <c r="T568" i="1" s="1"/>
  <c r="C568" i="1"/>
  <c r="D564" i="1"/>
  <c r="T564" i="1" s="1"/>
  <c r="C564" i="1"/>
  <c r="D563" i="1"/>
  <c r="T563" i="1" s="1"/>
  <c r="C563" i="1"/>
  <c r="C561" i="1"/>
  <c r="D561" i="1"/>
  <c r="T561" i="1" s="1"/>
  <c r="D560" i="1"/>
  <c r="T560" i="1" s="1"/>
  <c r="C560" i="1"/>
  <c r="D557" i="1"/>
  <c r="T557" i="1" s="1"/>
  <c r="C557" i="1"/>
  <c r="C527" i="1"/>
  <c r="M514" i="1"/>
  <c r="L514" i="1"/>
  <c r="K514" i="1"/>
  <c r="K513" i="1" s="1"/>
  <c r="D514" i="1"/>
  <c r="C514" i="1"/>
  <c r="M487" i="1"/>
  <c r="L487" i="1"/>
  <c r="K487" i="1"/>
  <c r="D487" i="1"/>
  <c r="D486" i="1" s="1"/>
  <c r="C487" i="1"/>
  <c r="C483" i="1"/>
  <c r="C417" i="1"/>
  <c r="Q604" i="1" l="1"/>
  <c r="F487" i="1"/>
  <c r="J514" i="1"/>
  <c r="P514" i="1"/>
  <c r="J604" i="1"/>
  <c r="P604" i="1"/>
  <c r="J487" i="1"/>
  <c r="L486" i="1"/>
  <c r="P486" i="1" s="1"/>
  <c r="P487" i="1"/>
  <c r="F561" i="1"/>
  <c r="S561" i="1"/>
  <c r="M486" i="1"/>
  <c r="Q486" i="1" s="1"/>
  <c r="Q487" i="1"/>
  <c r="Q514" i="1"/>
  <c r="F560" i="1"/>
  <c r="S560" i="1"/>
  <c r="F563" i="1"/>
  <c r="S563" i="1"/>
  <c r="F568" i="1"/>
  <c r="S568" i="1"/>
  <c r="M576" i="1"/>
  <c r="Q576" i="1" s="1"/>
  <c r="Q577" i="1"/>
  <c r="S417" i="1"/>
  <c r="V58" i="1"/>
  <c r="W58" i="1"/>
  <c r="F514" i="1"/>
  <c r="C576" i="1"/>
  <c r="F576" i="1" s="1"/>
  <c r="F577" i="1"/>
  <c r="F604" i="1"/>
  <c r="V54" i="1"/>
  <c r="W54" i="1"/>
  <c r="L576" i="1"/>
  <c r="P576" i="1" s="1"/>
  <c r="P577" i="1"/>
  <c r="K486" i="1"/>
  <c r="O487" i="1"/>
  <c r="N487" i="1"/>
  <c r="O514" i="1"/>
  <c r="N514" i="1"/>
  <c r="F557" i="1"/>
  <c r="S557" i="1"/>
  <c r="F564" i="1"/>
  <c r="S564" i="1"/>
  <c r="F569" i="1"/>
  <c r="S569" i="1"/>
  <c r="O604" i="1"/>
  <c r="N604" i="1"/>
  <c r="J577" i="1"/>
  <c r="K576" i="1"/>
  <c r="O577" i="1"/>
  <c r="N577" i="1"/>
  <c r="E18" i="3"/>
  <c r="E47" i="1"/>
  <c r="E46" i="1" s="1"/>
  <c r="C486" i="1"/>
  <c r="F486" i="1" s="1"/>
  <c r="C405" i="1"/>
  <c r="C395" i="1"/>
  <c r="S395" i="1" s="1"/>
  <c r="M394" i="1"/>
  <c r="L394" i="1"/>
  <c r="K394" i="1"/>
  <c r="D395" i="1"/>
  <c r="C391" i="1"/>
  <c r="F20" i="1"/>
  <c r="F19" i="1"/>
  <c r="F18" i="1"/>
  <c r="D171" i="1"/>
  <c r="D176" i="1"/>
  <c r="D162" i="1"/>
  <c r="D158" i="1"/>
  <c r="D155" i="1"/>
  <c r="D150" i="1"/>
  <c r="C181" i="1"/>
  <c r="C176" i="1"/>
  <c r="C171" i="1"/>
  <c r="C162" i="1"/>
  <c r="C155" i="1"/>
  <c r="C158" i="1"/>
  <c r="J486" i="1" l="1"/>
  <c r="J576" i="1"/>
  <c r="D166" i="1"/>
  <c r="F171" i="1"/>
  <c r="C166" i="1"/>
  <c r="S171" i="1"/>
  <c r="V568" i="1"/>
  <c r="W568" i="1"/>
  <c r="F176" i="1"/>
  <c r="S176" i="1"/>
  <c r="V18" i="1"/>
  <c r="W18" i="1"/>
  <c r="S405" i="1"/>
  <c r="W569" i="1"/>
  <c r="V569" i="1"/>
  <c r="V557" i="1"/>
  <c r="W557" i="1"/>
  <c r="S487" i="1"/>
  <c r="R487" i="1"/>
  <c r="F155" i="1"/>
  <c r="S155" i="1"/>
  <c r="F181" i="1"/>
  <c r="S181" i="1"/>
  <c r="V19" i="1"/>
  <c r="W19" i="1"/>
  <c r="J394" i="1"/>
  <c r="O486" i="1"/>
  <c r="N486" i="1"/>
  <c r="W563" i="1"/>
  <c r="V563" i="1"/>
  <c r="V560" i="1"/>
  <c r="W560" i="1"/>
  <c r="F158" i="1"/>
  <c r="S158" i="1"/>
  <c r="F162" i="1"/>
  <c r="S162" i="1"/>
  <c r="V20" i="1"/>
  <c r="W20" i="1"/>
  <c r="W564" i="1"/>
  <c r="V564" i="1"/>
  <c r="S514" i="1"/>
  <c r="R514" i="1"/>
  <c r="V514" i="1" s="1"/>
  <c r="W561" i="1"/>
  <c r="V561" i="1"/>
  <c r="R604" i="1"/>
  <c r="S604" i="1"/>
  <c r="S577" i="1"/>
  <c r="R577" i="1"/>
  <c r="O576" i="1"/>
  <c r="N576" i="1"/>
  <c r="P394" i="1"/>
  <c r="Q394" i="1"/>
  <c r="O394" i="1"/>
  <c r="N394" i="1"/>
  <c r="E11" i="3"/>
  <c r="E13" i="1"/>
  <c r="D394" i="1"/>
  <c r="F395" i="1"/>
  <c r="D149" i="1"/>
  <c r="D148" i="1" s="1"/>
  <c r="C150" i="1"/>
  <c r="W158" i="1" l="1"/>
  <c r="V158" i="1"/>
  <c r="W514" i="1"/>
  <c r="C149" i="1"/>
  <c r="F150" i="1"/>
  <c r="S150" i="1"/>
  <c r="V181" i="1"/>
  <c r="W181" i="1"/>
  <c r="V176" i="1"/>
  <c r="W176" i="1"/>
  <c r="F166" i="1"/>
  <c r="S166" i="1"/>
  <c r="S486" i="1"/>
  <c r="R486" i="1"/>
  <c r="W155" i="1"/>
  <c r="V155" i="1"/>
  <c r="W162" i="1"/>
  <c r="V162" i="1"/>
  <c r="V487" i="1"/>
  <c r="W487" i="1"/>
  <c r="W171" i="1"/>
  <c r="V171" i="1"/>
  <c r="W604" i="1"/>
  <c r="V604" i="1"/>
  <c r="S576" i="1"/>
  <c r="R576" i="1"/>
  <c r="W577" i="1"/>
  <c r="V577" i="1"/>
  <c r="R394" i="1"/>
  <c r="E9" i="3"/>
  <c r="E8" i="1"/>
  <c r="V395" i="1"/>
  <c r="W395" i="1"/>
  <c r="D15" i="3"/>
  <c r="D205" i="1"/>
  <c r="C205" i="1"/>
  <c r="M205" i="1"/>
  <c r="L205" i="1"/>
  <c r="Z205" i="1"/>
  <c r="Y205" i="1"/>
  <c r="X205" i="1"/>
  <c r="D202" i="1"/>
  <c r="C202" i="1"/>
  <c r="D197" i="1"/>
  <c r="C197" i="1"/>
  <c r="Y202" i="1" l="1"/>
  <c r="Z202" i="1"/>
  <c r="F197" i="1"/>
  <c r="J205" i="1"/>
  <c r="Q205" i="1"/>
  <c r="V486" i="1"/>
  <c r="W486" i="1"/>
  <c r="W166" i="1"/>
  <c r="V166" i="1"/>
  <c r="J202" i="1"/>
  <c r="P202" i="1"/>
  <c r="F205" i="1"/>
  <c r="W150" i="1"/>
  <c r="V150" i="1"/>
  <c r="P205" i="1"/>
  <c r="N205" i="1"/>
  <c r="F202" i="1"/>
  <c r="Z197" i="1"/>
  <c r="Q202" i="1"/>
  <c r="F149" i="1"/>
  <c r="S149" i="1"/>
  <c r="W576" i="1"/>
  <c r="V576" i="1"/>
  <c r="O205" i="1"/>
  <c r="C327" i="1"/>
  <c r="S327" i="1" s="1"/>
  <c r="D293" i="1"/>
  <c r="Y197" i="1" l="1"/>
  <c r="Q197" i="1"/>
  <c r="W149" i="1"/>
  <c r="V149" i="1"/>
  <c r="J197" i="1"/>
  <c r="P197" i="1"/>
  <c r="F327" i="1"/>
  <c r="S205" i="1"/>
  <c r="R205" i="1"/>
  <c r="O197" i="1"/>
  <c r="O202" i="1"/>
  <c r="C324" i="1"/>
  <c r="C315" i="1"/>
  <c r="C293" i="1"/>
  <c r="F293" i="1" s="1"/>
  <c r="D286" i="1"/>
  <c r="M238" i="1"/>
  <c r="L238" i="1"/>
  <c r="K238" i="1"/>
  <c r="Z238" i="1"/>
  <c r="Y238" i="1"/>
  <c r="X238" i="1"/>
  <c r="D238" i="1"/>
  <c r="F238" i="1" s="1"/>
  <c r="M101" i="1"/>
  <c r="L101" i="1"/>
  <c r="K101" i="1"/>
  <c r="Z101" i="1"/>
  <c r="Y101" i="1"/>
  <c r="X101" i="1"/>
  <c r="D101" i="1"/>
  <c r="C101" i="1"/>
  <c r="D63" i="1"/>
  <c r="M638" i="1"/>
  <c r="Z638" i="1" s="1"/>
  <c r="M627" i="1"/>
  <c r="M624" i="1"/>
  <c r="M621" i="1"/>
  <c r="M619" i="1"/>
  <c r="M615" i="1"/>
  <c r="M613" i="1"/>
  <c r="M607" i="1"/>
  <c r="M601" i="1"/>
  <c r="M599" i="1"/>
  <c r="M596" i="1"/>
  <c r="M594" i="1"/>
  <c r="M589" i="1"/>
  <c r="M587" i="1"/>
  <c r="M581" i="1"/>
  <c r="M551" i="1"/>
  <c r="M544" i="1"/>
  <c r="M541" i="1"/>
  <c r="M538" i="1"/>
  <c r="M535" i="1"/>
  <c r="M533" i="1"/>
  <c r="M527" i="1"/>
  <c r="M525" i="1"/>
  <c r="M516" i="1"/>
  <c r="M511" i="1"/>
  <c r="M509" i="1"/>
  <c r="M506" i="1"/>
  <c r="M504" i="1"/>
  <c r="M496" i="1"/>
  <c r="M494" i="1"/>
  <c r="M490" i="1"/>
  <c r="M460" i="1"/>
  <c r="M454" i="1"/>
  <c r="M452" i="1"/>
  <c r="M449" i="1"/>
  <c r="M445" i="1"/>
  <c r="M443" i="1"/>
  <c r="M438" i="1"/>
  <c r="M436" i="1"/>
  <c r="M428" i="1"/>
  <c r="M425" i="1"/>
  <c r="M423" i="1"/>
  <c r="M405" i="1"/>
  <c r="M401" i="1"/>
  <c r="M354" i="1"/>
  <c r="M353" i="1" s="1"/>
  <c r="M337" i="1"/>
  <c r="M324" i="1"/>
  <c r="M315" i="1"/>
  <c r="M293" i="1"/>
  <c r="M263" i="1"/>
  <c r="M255" i="1"/>
  <c r="M247" i="1"/>
  <c r="M231" i="1"/>
  <c r="M221" i="1"/>
  <c r="M212" i="1"/>
  <c r="M187" i="1"/>
  <c r="M141" i="1"/>
  <c r="M137" i="1"/>
  <c r="M125" i="1"/>
  <c r="M122" i="1"/>
  <c r="M117" i="1"/>
  <c r="M115" i="1"/>
  <c r="M103" i="1"/>
  <c r="M99" i="1"/>
  <c r="M91" i="1"/>
  <c r="M88" i="1"/>
  <c r="M86" i="1"/>
  <c r="M66" i="1"/>
  <c r="M52" i="1"/>
  <c r="M51" i="1" s="1"/>
  <c r="M42" i="1"/>
  <c r="Z621" i="1"/>
  <c r="Z619" i="1"/>
  <c r="Z615" i="1"/>
  <c r="Z601" i="1"/>
  <c r="Z599" i="1"/>
  <c r="Z594" i="1"/>
  <c r="Z581" i="1"/>
  <c r="Z551" i="1"/>
  <c r="Z541" i="1"/>
  <c r="Z535" i="1"/>
  <c r="Z533" i="1"/>
  <c r="Z527" i="1"/>
  <c r="Z525" i="1"/>
  <c r="Z511" i="1"/>
  <c r="Z509" i="1"/>
  <c r="Z506" i="1"/>
  <c r="Z496" i="1"/>
  <c r="Z494" i="1"/>
  <c r="Z482" i="1"/>
  <c r="Z460" i="1"/>
  <c r="Z452" i="1"/>
  <c r="Z445" i="1"/>
  <c r="Z443" i="1"/>
  <c r="Z438" i="1"/>
  <c r="Z425" i="1"/>
  <c r="Z423" i="1"/>
  <c r="Z401" i="1"/>
  <c r="Z337" i="1"/>
  <c r="Z324" i="1"/>
  <c r="Z315" i="1"/>
  <c r="Z273" i="1"/>
  <c r="Z263" i="1"/>
  <c r="Z255" i="1"/>
  <c r="Z247" i="1"/>
  <c r="Z231" i="1"/>
  <c r="Z221" i="1"/>
  <c r="Z187" i="1"/>
  <c r="Z141" i="1"/>
  <c r="Z137" i="1"/>
  <c r="Z125" i="1"/>
  <c r="Z122" i="1"/>
  <c r="Z117" i="1"/>
  <c r="Z115" i="1"/>
  <c r="Z103" i="1"/>
  <c r="Z99" i="1"/>
  <c r="Z91" i="1"/>
  <c r="Z88" i="1"/>
  <c r="Z86" i="1"/>
  <c r="Z66" i="1"/>
  <c r="Z62" i="1"/>
  <c r="Z52" i="1"/>
  <c r="Z354" i="1" l="1"/>
  <c r="Z293" i="1"/>
  <c r="Z212" i="1"/>
  <c r="Z42" i="1"/>
  <c r="Z580" i="1"/>
  <c r="Q405" i="1"/>
  <c r="Z262" i="1"/>
  <c r="Z254" i="1"/>
  <c r="Q324" i="1"/>
  <c r="U324" i="1" s="1"/>
  <c r="W327" i="1"/>
  <c r="V327" i="1"/>
  <c r="Z98" i="1"/>
  <c r="Q117" i="1"/>
  <c r="Q86" i="1"/>
  <c r="Q103" i="1"/>
  <c r="Q212" i="1"/>
  <c r="Q445" i="1"/>
  <c r="Q460" i="1"/>
  <c r="Q496" i="1"/>
  <c r="Q511" i="1"/>
  <c r="Q533" i="1"/>
  <c r="Q544" i="1"/>
  <c r="Q587" i="1"/>
  <c r="Q599" i="1"/>
  <c r="Q615" i="1"/>
  <c r="Q627" i="1"/>
  <c r="J238" i="1"/>
  <c r="P238" i="1"/>
  <c r="J101" i="1"/>
  <c r="P101" i="1"/>
  <c r="Q238" i="1"/>
  <c r="Z230" i="1"/>
  <c r="N101" i="1"/>
  <c r="O101" i="1"/>
  <c r="Q52" i="1"/>
  <c r="Q88" i="1"/>
  <c r="Q115" i="1"/>
  <c r="Q137" i="1"/>
  <c r="M220" i="1"/>
  <c r="Q221" i="1"/>
  <c r="M262" i="1"/>
  <c r="Q262" i="1" s="1"/>
  <c r="Q263" i="1"/>
  <c r="M336" i="1"/>
  <c r="Q336" i="1" s="1"/>
  <c r="Q337" i="1"/>
  <c r="Q436" i="1"/>
  <c r="Q449" i="1"/>
  <c r="M482" i="1"/>
  <c r="Q482" i="1" s="1"/>
  <c r="Q483" i="1"/>
  <c r="Q504" i="1"/>
  <c r="M513" i="1"/>
  <c r="Q513" i="1" s="1"/>
  <c r="Q516" i="1"/>
  <c r="Q535" i="1"/>
  <c r="M550" i="1"/>
  <c r="Q551" i="1"/>
  <c r="Q589" i="1"/>
  <c r="Q601" i="1"/>
  <c r="Q619" i="1"/>
  <c r="M637" i="1"/>
  <c r="M636" i="1" s="1"/>
  <c r="Q638" i="1"/>
  <c r="M254" i="1"/>
  <c r="Q255" i="1"/>
  <c r="M323" i="1"/>
  <c r="Q323" i="1" s="1"/>
  <c r="U323" i="1" s="1"/>
  <c r="M427" i="1"/>
  <c r="Q427" i="1" s="1"/>
  <c r="Q428" i="1"/>
  <c r="Q42" i="1"/>
  <c r="Q62" i="1"/>
  <c r="Q91" i="1"/>
  <c r="Q141" i="1"/>
  <c r="M230" i="1"/>
  <c r="Q231" i="1"/>
  <c r="Q423" i="1"/>
  <c r="Q438" i="1"/>
  <c r="Q452" i="1"/>
  <c r="M489" i="1"/>
  <c r="Q489" i="1" s="1"/>
  <c r="Q490" i="1"/>
  <c r="Q506" i="1"/>
  <c r="Q525" i="1"/>
  <c r="Q538" i="1"/>
  <c r="M572" i="1"/>
  <c r="Q572" i="1" s="1"/>
  <c r="Q573" i="1"/>
  <c r="Q594" i="1"/>
  <c r="M603" i="1"/>
  <c r="Q603" i="1" s="1"/>
  <c r="Q607" i="1"/>
  <c r="Q621" i="1"/>
  <c r="F63" i="1"/>
  <c r="T63" i="1"/>
  <c r="Q101" i="1"/>
  <c r="F286" i="1"/>
  <c r="T286" i="1"/>
  <c r="M400" i="1"/>
  <c r="Q400" i="1" s="1"/>
  <c r="Q401" i="1"/>
  <c r="Q125" i="1"/>
  <c r="Z51" i="1"/>
  <c r="Q66" i="1"/>
  <c r="M98" i="1"/>
  <c r="Q99" i="1"/>
  <c r="Q122" i="1"/>
  <c r="M186" i="1"/>
  <c r="Q187" i="1"/>
  <c r="M246" i="1"/>
  <c r="Q246" i="1" s="1"/>
  <c r="Q247" i="1"/>
  <c r="M314" i="1"/>
  <c r="Q315" i="1"/>
  <c r="M390" i="1"/>
  <c r="Q390" i="1" s="1"/>
  <c r="Q391" i="1"/>
  <c r="Q425" i="1"/>
  <c r="Q443" i="1"/>
  <c r="Q454" i="1"/>
  <c r="Q494" i="1"/>
  <c r="Q509" i="1"/>
  <c r="Q527" i="1"/>
  <c r="Q541" i="1"/>
  <c r="M580" i="1"/>
  <c r="Q580" i="1" s="1"/>
  <c r="Q581" i="1"/>
  <c r="Q596" i="1"/>
  <c r="Q613" i="1"/>
  <c r="Q624" i="1"/>
  <c r="F101" i="1"/>
  <c r="Z353" i="1"/>
  <c r="Q354" i="1"/>
  <c r="Q293" i="1"/>
  <c r="O238" i="1"/>
  <c r="N238" i="1"/>
  <c r="Z636" i="1"/>
  <c r="S202" i="1"/>
  <c r="R202" i="1"/>
  <c r="S197" i="1"/>
  <c r="R197" i="1"/>
  <c r="V205" i="1"/>
  <c r="W205" i="1"/>
  <c r="C273" i="1"/>
  <c r="M404" i="1"/>
  <c r="M459" i="1"/>
  <c r="Z448" i="1"/>
  <c r="Z612" i="1"/>
  <c r="M612" i="1"/>
  <c r="M623" i="1"/>
  <c r="M114" i="1"/>
  <c r="M586" i="1"/>
  <c r="Z114" i="1"/>
  <c r="Z493" i="1"/>
  <c r="Z586" i="1"/>
  <c r="M493" i="1"/>
  <c r="Z623" i="1"/>
  <c r="M16" i="1"/>
  <c r="M15" i="1" s="1"/>
  <c r="M448" i="1"/>
  <c r="M537" i="1"/>
  <c r="Z524" i="1"/>
  <c r="M65" i="1"/>
  <c r="M322" i="1"/>
  <c r="M435" i="1"/>
  <c r="M524" i="1"/>
  <c r="Z435" i="1"/>
  <c r="M14" i="1"/>
  <c r="Z323" i="1" l="1"/>
  <c r="Z322" i="1"/>
  <c r="Z220" i="1"/>
  <c r="Z637" i="1"/>
  <c r="Z550" i="1"/>
  <c r="Z537" i="1"/>
  <c r="Z459" i="1"/>
  <c r="Z404" i="1"/>
  <c r="Z400" i="1"/>
  <c r="Z336" i="1"/>
  <c r="Z314" i="1"/>
  <c r="Q254" i="1"/>
  <c r="Z246" i="1"/>
  <c r="Z186" i="1"/>
  <c r="Z65" i="1"/>
  <c r="Q51" i="1"/>
  <c r="Q353" i="1"/>
  <c r="V63" i="1"/>
  <c r="W63" i="1"/>
  <c r="Z571" i="1"/>
  <c r="Q98" i="1"/>
  <c r="Q524" i="1"/>
  <c r="Q586" i="1"/>
  <c r="Q448" i="1"/>
  <c r="M335" i="1"/>
  <c r="M334" i="1" s="1"/>
  <c r="M245" i="1"/>
  <c r="Q493" i="1"/>
  <c r="Q612" i="1"/>
  <c r="Q230" i="1"/>
  <c r="Q435" i="1"/>
  <c r="Q186" i="1"/>
  <c r="M313" i="1"/>
  <c r="Q313" i="1" s="1"/>
  <c r="Q314" i="1"/>
  <c r="M549" i="1"/>
  <c r="Q549" i="1" s="1"/>
  <c r="Q550" i="1"/>
  <c r="Q322" i="1"/>
  <c r="U322" i="1" s="1"/>
  <c r="Q537" i="1"/>
  <c r="Q114" i="1"/>
  <c r="S101" i="1"/>
  <c r="R101" i="1"/>
  <c r="V101" i="1" s="1"/>
  <c r="M185" i="1"/>
  <c r="Q637" i="1"/>
  <c r="V286" i="1"/>
  <c r="W286" i="1"/>
  <c r="M229" i="1"/>
  <c r="M219" i="1"/>
  <c r="Q219" i="1" s="1"/>
  <c r="Q220" i="1"/>
  <c r="S238" i="1"/>
  <c r="R238" i="1"/>
  <c r="Q623" i="1"/>
  <c r="M272" i="1"/>
  <c r="Z272" i="1" s="1"/>
  <c r="Q273" i="1"/>
  <c r="U273" i="1" s="1"/>
  <c r="Q14" i="1"/>
  <c r="L10" i="3" s="1"/>
  <c r="Q15" i="1"/>
  <c r="Q16" i="1"/>
  <c r="Q636" i="1"/>
  <c r="Q65" i="1"/>
  <c r="M458" i="1"/>
  <c r="Q458" i="1" s="1"/>
  <c r="Q459" i="1"/>
  <c r="Q404" i="1"/>
  <c r="V197" i="1"/>
  <c r="W197" i="1"/>
  <c r="V202" i="1"/>
  <c r="W202" i="1"/>
  <c r="M136" i="1"/>
  <c r="Z136" i="1"/>
  <c r="M571" i="1"/>
  <c r="M389" i="1"/>
  <c r="M481" i="1"/>
  <c r="M480" i="1" s="1"/>
  <c r="Q245" i="1" l="1"/>
  <c r="Q229" i="1"/>
  <c r="Z229" i="1"/>
  <c r="Z219" i="1"/>
  <c r="Z549" i="1"/>
  <c r="Z481" i="1"/>
  <c r="Z458" i="1"/>
  <c r="Z389" i="1"/>
  <c r="Z335" i="1"/>
  <c r="Z313" i="1"/>
  <c r="Z245" i="1"/>
  <c r="Q185" i="1"/>
  <c r="L14" i="3" s="1"/>
  <c r="Z185" i="1"/>
  <c r="Z334" i="1"/>
  <c r="Q335" i="1"/>
  <c r="M50" i="1"/>
  <c r="Q136" i="1"/>
  <c r="W101" i="1"/>
  <c r="M312" i="1"/>
  <c r="M218" i="1"/>
  <c r="V238" i="1"/>
  <c r="W238" i="1"/>
  <c r="M271" i="1"/>
  <c r="Z271" i="1" s="1"/>
  <c r="Q272" i="1"/>
  <c r="U272" i="1" s="1"/>
  <c r="M570" i="1"/>
  <c r="Q571" i="1"/>
  <c r="Z480" i="1"/>
  <c r="Q481" i="1"/>
  <c r="M388" i="1"/>
  <c r="Q389" i="1"/>
  <c r="Z570" i="1" l="1"/>
  <c r="Z388" i="1"/>
  <c r="Q334" i="1"/>
  <c r="L19" i="3" s="1"/>
  <c r="Z312" i="1"/>
  <c r="Q312" i="1"/>
  <c r="U312" i="1" s="1"/>
  <c r="P18" i="3" s="1"/>
  <c r="Z218" i="1"/>
  <c r="Q218" i="1"/>
  <c r="L16" i="3" s="1"/>
  <c r="Z50" i="1"/>
  <c r="Q50" i="1"/>
  <c r="Q570" i="1"/>
  <c r="L22" i="3" s="1"/>
  <c r="Q480" i="1"/>
  <c r="L21" i="3" s="1"/>
  <c r="M49" i="1"/>
  <c r="M48" i="1" s="1"/>
  <c r="Q388" i="1"/>
  <c r="L20" i="3" s="1"/>
  <c r="M270" i="1"/>
  <c r="Q270" i="1" s="1"/>
  <c r="Q271" i="1"/>
  <c r="U271" i="1" s="1"/>
  <c r="L638" i="1"/>
  <c r="Y638" i="1" s="1"/>
  <c r="D638" i="1"/>
  <c r="D631" i="1"/>
  <c r="F631" i="1" s="1"/>
  <c r="L627" i="1"/>
  <c r="K627" i="1"/>
  <c r="X627" i="1" s="1"/>
  <c r="D627" i="1"/>
  <c r="C627" i="1"/>
  <c r="L624" i="1"/>
  <c r="K624" i="1"/>
  <c r="C624" i="1"/>
  <c r="F624" i="1" s="1"/>
  <c r="L621" i="1"/>
  <c r="K621" i="1"/>
  <c r="Y621" i="1"/>
  <c r="D621" i="1"/>
  <c r="C621" i="1"/>
  <c r="L619" i="1"/>
  <c r="K619" i="1"/>
  <c r="Y619" i="1"/>
  <c r="D619" i="1"/>
  <c r="C619" i="1"/>
  <c r="L615" i="1"/>
  <c r="K615" i="1"/>
  <c r="Y615" i="1"/>
  <c r="D615" i="1"/>
  <c r="C615" i="1"/>
  <c r="L613" i="1"/>
  <c r="K613" i="1"/>
  <c r="D613" i="1"/>
  <c r="C613" i="1"/>
  <c r="L607" i="1"/>
  <c r="K607" i="1"/>
  <c r="D607" i="1"/>
  <c r="D603" i="1" s="1"/>
  <c r="C607" i="1"/>
  <c r="L601" i="1"/>
  <c r="K601" i="1"/>
  <c r="Y601" i="1"/>
  <c r="D601" i="1"/>
  <c r="C601" i="1"/>
  <c r="L599" i="1"/>
  <c r="K599" i="1"/>
  <c r="Y599" i="1"/>
  <c r="D599" i="1"/>
  <c r="C599" i="1"/>
  <c r="L596" i="1"/>
  <c r="K596" i="1"/>
  <c r="D596" i="1"/>
  <c r="C596" i="1"/>
  <c r="L594" i="1"/>
  <c r="K594" i="1"/>
  <c r="Y594" i="1"/>
  <c r="D594" i="1"/>
  <c r="C594" i="1"/>
  <c r="L589" i="1"/>
  <c r="K589" i="1"/>
  <c r="X589" i="1" s="1"/>
  <c r="D589" i="1"/>
  <c r="C589" i="1"/>
  <c r="L587" i="1"/>
  <c r="K587" i="1"/>
  <c r="X587" i="1" s="1"/>
  <c r="D587" i="1"/>
  <c r="C587" i="1"/>
  <c r="L581" i="1"/>
  <c r="K581" i="1"/>
  <c r="Y581" i="1"/>
  <c r="D581" i="1"/>
  <c r="C581" i="1"/>
  <c r="D573" i="1"/>
  <c r="L551" i="1"/>
  <c r="X551" i="1"/>
  <c r="D551" i="1"/>
  <c r="C551" i="1"/>
  <c r="L544" i="1"/>
  <c r="D544" i="1"/>
  <c r="C544" i="1"/>
  <c r="L541" i="1"/>
  <c r="K541" i="1"/>
  <c r="D541" i="1"/>
  <c r="C541" i="1"/>
  <c r="L538" i="1"/>
  <c r="K538" i="1"/>
  <c r="D538" i="1"/>
  <c r="C538" i="1"/>
  <c r="L535" i="1"/>
  <c r="K535" i="1"/>
  <c r="X535" i="1" s="1"/>
  <c r="Y535" i="1"/>
  <c r="D535" i="1"/>
  <c r="C535" i="1"/>
  <c r="L533" i="1"/>
  <c r="K533" i="1"/>
  <c r="Y533" i="1"/>
  <c r="X533" i="1"/>
  <c r="D533" i="1"/>
  <c r="C533" i="1"/>
  <c r="L527" i="1"/>
  <c r="Y527" i="1"/>
  <c r="X527" i="1"/>
  <c r="D527" i="1"/>
  <c r="F527" i="1" s="1"/>
  <c r="L525" i="1"/>
  <c r="K525" i="1"/>
  <c r="Y525" i="1"/>
  <c r="X525" i="1"/>
  <c r="D525" i="1"/>
  <c r="C525" i="1"/>
  <c r="L516" i="1"/>
  <c r="K516" i="1"/>
  <c r="D516" i="1"/>
  <c r="D513" i="1" s="1"/>
  <c r="C516" i="1"/>
  <c r="L511" i="1"/>
  <c r="K511" i="1"/>
  <c r="Y511" i="1"/>
  <c r="D511" i="1"/>
  <c r="C511" i="1"/>
  <c r="L509" i="1"/>
  <c r="K509" i="1"/>
  <c r="Y509" i="1"/>
  <c r="D509" i="1"/>
  <c r="C509" i="1"/>
  <c r="L506" i="1"/>
  <c r="Y506" i="1"/>
  <c r="X506" i="1"/>
  <c r="D506" i="1"/>
  <c r="C506" i="1"/>
  <c r="L504" i="1"/>
  <c r="K504" i="1"/>
  <c r="X504" i="1" s="1"/>
  <c r="D504" i="1"/>
  <c r="C504" i="1"/>
  <c r="L496" i="1"/>
  <c r="K496" i="1"/>
  <c r="Y496" i="1"/>
  <c r="D496" i="1"/>
  <c r="C496" i="1"/>
  <c r="L494" i="1"/>
  <c r="K494" i="1"/>
  <c r="Y494" i="1"/>
  <c r="X494" i="1"/>
  <c r="D494" i="1"/>
  <c r="C494" i="1"/>
  <c r="L490" i="1"/>
  <c r="K490" i="1"/>
  <c r="D490" i="1"/>
  <c r="D489" i="1" s="1"/>
  <c r="C490" i="1"/>
  <c r="Y482" i="1"/>
  <c r="D483" i="1"/>
  <c r="N471" i="1"/>
  <c r="D471" i="1"/>
  <c r="F471" i="1" s="1"/>
  <c r="L460" i="1"/>
  <c r="K460" i="1"/>
  <c r="D460" i="1"/>
  <c r="F460" i="1" s="1"/>
  <c r="L454" i="1"/>
  <c r="K454" i="1"/>
  <c r="D454" i="1"/>
  <c r="C454" i="1"/>
  <c r="L452" i="1"/>
  <c r="K452" i="1"/>
  <c r="Y452" i="1"/>
  <c r="D452" i="1"/>
  <c r="C452" i="1"/>
  <c r="L449" i="1"/>
  <c r="K449" i="1"/>
  <c r="D449" i="1"/>
  <c r="C449" i="1"/>
  <c r="L445" i="1"/>
  <c r="K445" i="1"/>
  <c r="X445" i="1" s="1"/>
  <c r="Y445" i="1"/>
  <c r="D445" i="1"/>
  <c r="F445" i="1" s="1"/>
  <c r="L443" i="1"/>
  <c r="K443" i="1"/>
  <c r="X443" i="1" s="1"/>
  <c r="Y443" i="1"/>
  <c r="D443" i="1"/>
  <c r="F443" i="1" s="1"/>
  <c r="L438" i="1"/>
  <c r="K438" i="1"/>
  <c r="Y438" i="1"/>
  <c r="D438" i="1"/>
  <c r="C438" i="1"/>
  <c r="L436" i="1"/>
  <c r="K436" i="1"/>
  <c r="D436" i="1"/>
  <c r="C436" i="1"/>
  <c r="L428" i="1"/>
  <c r="K428" i="1"/>
  <c r="D428" i="1"/>
  <c r="D427" i="1" s="1"/>
  <c r="C428" i="1"/>
  <c r="L425" i="1"/>
  <c r="K425" i="1"/>
  <c r="D425" i="1"/>
  <c r="C425" i="1"/>
  <c r="L423" i="1"/>
  <c r="K423" i="1"/>
  <c r="Y423" i="1"/>
  <c r="D423" i="1"/>
  <c r="C423" i="1"/>
  <c r="D420" i="1"/>
  <c r="F420" i="1" s="1"/>
  <c r="D417" i="1"/>
  <c r="F417" i="1" s="1"/>
  <c r="D408" i="1"/>
  <c r="F408" i="1" s="1"/>
  <c r="L405" i="1"/>
  <c r="D405" i="1"/>
  <c r="F405" i="1" s="1"/>
  <c r="L401" i="1"/>
  <c r="K401" i="1"/>
  <c r="D401" i="1"/>
  <c r="D391" i="1"/>
  <c r="L354" i="1"/>
  <c r="K354" i="1"/>
  <c r="D354" i="1"/>
  <c r="C354" i="1"/>
  <c r="C353" i="1" s="1"/>
  <c r="L337" i="1"/>
  <c r="K337" i="1"/>
  <c r="D337" i="1"/>
  <c r="L324" i="1"/>
  <c r="X324" i="1"/>
  <c r="D324" i="1"/>
  <c r="L315" i="1"/>
  <c r="K315" i="1"/>
  <c r="D315" i="1"/>
  <c r="L293" i="1"/>
  <c r="K293" i="1"/>
  <c r="Y273" i="1"/>
  <c r="X273" i="1"/>
  <c r="L263" i="1"/>
  <c r="K263" i="1"/>
  <c r="Y263" i="1"/>
  <c r="D263" i="1"/>
  <c r="L255" i="1"/>
  <c r="K255" i="1"/>
  <c r="Y255" i="1"/>
  <c r="D255" i="1"/>
  <c r="L247" i="1"/>
  <c r="K247" i="1"/>
  <c r="Y247" i="1"/>
  <c r="D247" i="1"/>
  <c r="L231" i="1"/>
  <c r="K231" i="1"/>
  <c r="K230" i="1" s="1"/>
  <c r="Y231" i="1"/>
  <c r="D231" i="1"/>
  <c r="L221" i="1"/>
  <c r="K221" i="1"/>
  <c r="Y221" i="1"/>
  <c r="D221" i="1"/>
  <c r="D220" i="1" s="1"/>
  <c r="D219" i="1" s="1"/>
  <c r="C221" i="1"/>
  <c r="L212" i="1"/>
  <c r="K212" i="1"/>
  <c r="D212" i="1"/>
  <c r="C212" i="1"/>
  <c r="L187" i="1"/>
  <c r="K187" i="1"/>
  <c r="Y187" i="1"/>
  <c r="D187" i="1"/>
  <c r="C187" i="1"/>
  <c r="L141" i="1"/>
  <c r="K141" i="1"/>
  <c r="Y141" i="1"/>
  <c r="D141" i="1"/>
  <c r="C141" i="1"/>
  <c r="L137" i="1"/>
  <c r="K137" i="1"/>
  <c r="X137" i="1" s="1"/>
  <c r="Y137" i="1"/>
  <c r="D137" i="1"/>
  <c r="F137" i="1" s="1"/>
  <c r="L125" i="1"/>
  <c r="N125" i="1" s="1"/>
  <c r="Y125" i="1"/>
  <c r="O125" i="1"/>
  <c r="D125" i="1"/>
  <c r="F125" i="1" s="1"/>
  <c r="L122" i="1"/>
  <c r="K122" i="1"/>
  <c r="Y122" i="1"/>
  <c r="X122" i="1"/>
  <c r="D122" i="1"/>
  <c r="C122" i="1"/>
  <c r="L117" i="1"/>
  <c r="N117" i="1" s="1"/>
  <c r="Y117" i="1"/>
  <c r="X117" i="1"/>
  <c r="D117" i="1"/>
  <c r="C117" i="1"/>
  <c r="L115" i="1"/>
  <c r="K115" i="1"/>
  <c r="Y115" i="1"/>
  <c r="D115" i="1"/>
  <c r="C115" i="1"/>
  <c r="L103" i="1"/>
  <c r="K103" i="1"/>
  <c r="Y103" i="1"/>
  <c r="D103" i="1"/>
  <c r="F103" i="1" s="1"/>
  <c r="L99" i="1"/>
  <c r="K99" i="1"/>
  <c r="Y99" i="1"/>
  <c r="X99" i="1"/>
  <c r="D99" i="1"/>
  <c r="C99" i="1"/>
  <c r="D93" i="1"/>
  <c r="F93" i="1" s="1"/>
  <c r="L91" i="1"/>
  <c r="K91" i="1"/>
  <c r="Y91" i="1"/>
  <c r="D91" i="1"/>
  <c r="F91" i="1" s="1"/>
  <c r="L88" i="1"/>
  <c r="K88" i="1"/>
  <c r="Y88" i="1"/>
  <c r="D88" i="1"/>
  <c r="F88" i="1" s="1"/>
  <c r="L86" i="1"/>
  <c r="K86" i="1"/>
  <c r="Y86" i="1"/>
  <c r="D86" i="1"/>
  <c r="C86" i="1"/>
  <c r="D68" i="1"/>
  <c r="F68" i="1" s="1"/>
  <c r="L66" i="1"/>
  <c r="K66" i="1"/>
  <c r="Y66" i="1"/>
  <c r="D66" i="1"/>
  <c r="C66" i="1"/>
  <c r="Y62" i="1"/>
  <c r="X62" i="1"/>
  <c r="D62" i="1"/>
  <c r="C62" i="1"/>
  <c r="L52" i="1"/>
  <c r="L51" i="1" s="1"/>
  <c r="K52" i="1"/>
  <c r="K51" i="1" s="1"/>
  <c r="Y52" i="1"/>
  <c r="D52" i="1"/>
  <c r="C52" i="1"/>
  <c r="L42" i="1"/>
  <c r="X42" i="1"/>
  <c r="D42" i="1"/>
  <c r="F42" i="1" s="1"/>
  <c r="O22" i="3"/>
  <c r="O20" i="3"/>
  <c r="O10" i="3"/>
  <c r="A3" i="3"/>
  <c r="X263" i="1" l="1"/>
  <c r="X115" i="1"/>
  <c r="X541" i="1"/>
  <c r="X66" i="1"/>
  <c r="X581" i="1"/>
  <c r="X103" i="1"/>
  <c r="X91" i="1"/>
  <c r="X337" i="1"/>
  <c r="Y460" i="1"/>
  <c r="Y425" i="1"/>
  <c r="Y293" i="1"/>
  <c r="L18" i="3"/>
  <c r="X425" i="1"/>
  <c r="X460" i="1"/>
  <c r="Y551" i="1"/>
  <c r="X621" i="1"/>
  <c r="X619" i="1"/>
  <c r="X615" i="1"/>
  <c r="X601" i="1"/>
  <c r="X599" i="1"/>
  <c r="X594" i="1"/>
  <c r="Y541" i="1"/>
  <c r="X511" i="1"/>
  <c r="X509" i="1"/>
  <c r="X496" i="1"/>
  <c r="X452" i="1"/>
  <c r="X438" i="1"/>
  <c r="X423" i="1"/>
  <c r="X401" i="1"/>
  <c r="Y401" i="1"/>
  <c r="X354" i="1"/>
  <c r="Y354" i="1"/>
  <c r="Y337" i="1"/>
  <c r="Y324" i="1"/>
  <c r="X315" i="1"/>
  <c r="Y315" i="1"/>
  <c r="X293" i="1"/>
  <c r="Z270" i="1"/>
  <c r="X255" i="1"/>
  <c r="X247" i="1"/>
  <c r="X231" i="1"/>
  <c r="X221" i="1"/>
  <c r="X212" i="1"/>
  <c r="Y212" i="1"/>
  <c r="X187" i="1"/>
  <c r="X141" i="1"/>
  <c r="X88" i="1"/>
  <c r="X86" i="1"/>
  <c r="Z49" i="1"/>
  <c r="Z48" i="1"/>
  <c r="Q49" i="1"/>
  <c r="L13" i="3" s="1"/>
  <c r="X52" i="1"/>
  <c r="Y42" i="1"/>
  <c r="J443" i="1"/>
  <c r="J445" i="1"/>
  <c r="Y580" i="1"/>
  <c r="Y336" i="1"/>
  <c r="P324" i="1"/>
  <c r="O273" i="1"/>
  <c r="S273" i="1" s="1"/>
  <c r="Y262" i="1"/>
  <c r="Y254" i="1"/>
  <c r="O62" i="1"/>
  <c r="S62" i="1" s="1"/>
  <c r="J324" i="1"/>
  <c r="O324" i="1"/>
  <c r="N51" i="1"/>
  <c r="J587" i="1"/>
  <c r="F589" i="1"/>
  <c r="J594" i="1"/>
  <c r="F596" i="1"/>
  <c r="N596" i="1"/>
  <c r="J599" i="1"/>
  <c r="F601" i="1"/>
  <c r="N601" i="1"/>
  <c r="F613" i="1"/>
  <c r="J615" i="1"/>
  <c r="Y51" i="1"/>
  <c r="P62" i="1"/>
  <c r="P436" i="1"/>
  <c r="P494" i="1"/>
  <c r="J293" i="1"/>
  <c r="F619" i="1"/>
  <c r="J621" i="1"/>
  <c r="P504" i="1"/>
  <c r="F423" i="1"/>
  <c r="J425" i="1"/>
  <c r="F428" i="1"/>
  <c r="J436" i="1"/>
  <c r="F438" i="1"/>
  <c r="J449" i="1"/>
  <c r="F452" i="1"/>
  <c r="J454" i="1"/>
  <c r="F490" i="1"/>
  <c r="J494" i="1"/>
  <c r="F496" i="1"/>
  <c r="N496" i="1"/>
  <c r="J504" i="1"/>
  <c r="F506" i="1"/>
  <c r="F86" i="1"/>
  <c r="J91" i="1"/>
  <c r="Y98" i="1"/>
  <c r="F535" i="1"/>
  <c r="J538" i="1"/>
  <c r="F541" i="1"/>
  <c r="P587" i="1"/>
  <c r="K404" i="1"/>
  <c r="P509" i="1"/>
  <c r="P533" i="1"/>
  <c r="J52" i="1"/>
  <c r="F62" i="1"/>
  <c r="J66" i="1"/>
  <c r="J88" i="1"/>
  <c r="P91" i="1"/>
  <c r="P103" i="1"/>
  <c r="J137" i="1"/>
  <c r="F212" i="1"/>
  <c r="J221" i="1"/>
  <c r="J273" i="1"/>
  <c r="J423" i="1"/>
  <c r="F425" i="1"/>
  <c r="F436" i="1"/>
  <c r="J438" i="1"/>
  <c r="F449" i="1"/>
  <c r="J452" i="1"/>
  <c r="F454" i="1"/>
  <c r="F494" i="1"/>
  <c r="J496" i="1"/>
  <c r="F504" i="1"/>
  <c r="J527" i="1"/>
  <c r="P538" i="1"/>
  <c r="J581" i="1"/>
  <c r="F587" i="1"/>
  <c r="J589" i="1"/>
  <c r="F594" i="1"/>
  <c r="F599" i="1"/>
  <c r="J601" i="1"/>
  <c r="J613" i="1"/>
  <c r="F615" i="1"/>
  <c r="J619" i="1"/>
  <c r="F621" i="1"/>
  <c r="P627" i="1"/>
  <c r="J103" i="1"/>
  <c r="F115" i="1"/>
  <c r="F122" i="1"/>
  <c r="P425" i="1"/>
  <c r="P449" i="1"/>
  <c r="P454" i="1"/>
  <c r="N460" i="1"/>
  <c r="J509" i="1"/>
  <c r="F511" i="1"/>
  <c r="N511" i="1"/>
  <c r="F525" i="1"/>
  <c r="J533" i="1"/>
  <c r="J544" i="1"/>
  <c r="P599" i="1"/>
  <c r="P615" i="1"/>
  <c r="P621" i="1"/>
  <c r="J627" i="1"/>
  <c r="P187" i="1"/>
  <c r="D230" i="1"/>
  <c r="F231" i="1"/>
  <c r="V93" i="1"/>
  <c r="W93" i="1"/>
  <c r="P141" i="1"/>
  <c r="D246" i="1"/>
  <c r="F247" i="1"/>
  <c r="W420" i="1"/>
  <c r="V420" i="1"/>
  <c r="D482" i="1"/>
  <c r="F483" i="1"/>
  <c r="L482" i="1"/>
  <c r="P482" i="1" s="1"/>
  <c r="P483" i="1"/>
  <c r="O541" i="1"/>
  <c r="N541" i="1"/>
  <c r="D572" i="1"/>
  <c r="F573" i="1"/>
  <c r="L572" i="1"/>
  <c r="P572" i="1" s="1"/>
  <c r="P573" i="1"/>
  <c r="P594" i="1"/>
  <c r="L603" i="1"/>
  <c r="P603" i="1" s="1"/>
  <c r="P607" i="1"/>
  <c r="W417" i="1"/>
  <c r="V417" i="1"/>
  <c r="L513" i="1"/>
  <c r="P513" i="1" s="1"/>
  <c r="P516" i="1"/>
  <c r="F52" i="1"/>
  <c r="N52" i="1"/>
  <c r="O52" i="1"/>
  <c r="C65" i="1"/>
  <c r="F66" i="1"/>
  <c r="P86" i="1"/>
  <c r="C98" i="1"/>
  <c r="F99" i="1"/>
  <c r="K98" i="1"/>
  <c r="X98" i="1" s="1"/>
  <c r="N99" i="1"/>
  <c r="O99" i="1"/>
  <c r="P115" i="1"/>
  <c r="P117" i="1"/>
  <c r="P122" i="1"/>
  <c r="J141" i="1"/>
  <c r="F187" i="1"/>
  <c r="N187" i="1"/>
  <c r="J212" i="1"/>
  <c r="F221" i="1"/>
  <c r="Y230" i="1"/>
  <c r="D254" i="1"/>
  <c r="F255" i="1"/>
  <c r="L254" i="1"/>
  <c r="P254" i="1" s="1"/>
  <c r="P255" i="1"/>
  <c r="D314" i="1"/>
  <c r="D313" i="1" s="1"/>
  <c r="F315" i="1"/>
  <c r="P405" i="1"/>
  <c r="R405" i="1" s="1"/>
  <c r="V405" i="1" s="1"/>
  <c r="N405" i="1"/>
  <c r="O423" i="1"/>
  <c r="N423" i="1"/>
  <c r="P460" i="1"/>
  <c r="K489" i="1"/>
  <c r="O490" i="1"/>
  <c r="N490" i="1"/>
  <c r="P506" i="1"/>
  <c r="N506" i="1"/>
  <c r="P511" i="1"/>
  <c r="P525" i="1"/>
  <c r="P527" i="1"/>
  <c r="P535" i="1"/>
  <c r="P541" i="1"/>
  <c r="P624" i="1"/>
  <c r="J99" i="1"/>
  <c r="C136" i="1"/>
  <c r="F141" i="1"/>
  <c r="L230" i="1"/>
  <c r="P231" i="1"/>
  <c r="D336" i="1"/>
  <c r="F337" i="1"/>
  <c r="D400" i="1"/>
  <c r="F401" i="1"/>
  <c r="L400" i="1"/>
  <c r="P400" i="1" s="1"/>
  <c r="P401" i="1"/>
  <c r="J490" i="1"/>
  <c r="C603" i="1"/>
  <c r="F603" i="1" s="1"/>
  <c r="F607" i="1"/>
  <c r="L637" i="1"/>
  <c r="L636" i="1" s="1"/>
  <c r="P638" i="1"/>
  <c r="J42" i="1"/>
  <c r="P52" i="1"/>
  <c r="P66" i="1"/>
  <c r="J86" i="1"/>
  <c r="P88" i="1"/>
  <c r="L98" i="1"/>
  <c r="P99" i="1"/>
  <c r="N103" i="1"/>
  <c r="O103" i="1"/>
  <c r="J115" i="1"/>
  <c r="F117" i="1"/>
  <c r="J122" i="1"/>
  <c r="L220" i="1"/>
  <c r="P221" i="1"/>
  <c r="D262" i="1"/>
  <c r="F262" i="1" s="1"/>
  <c r="F263" i="1"/>
  <c r="L262" i="1"/>
  <c r="P262" i="1" s="1"/>
  <c r="P263" i="1"/>
  <c r="J315" i="1"/>
  <c r="D390" i="1"/>
  <c r="F391" i="1"/>
  <c r="L390" i="1"/>
  <c r="P391" i="1"/>
  <c r="P423" i="1"/>
  <c r="L427" i="1"/>
  <c r="P427" i="1" s="1"/>
  <c r="P428" i="1"/>
  <c r="P438" i="1"/>
  <c r="P443" i="1"/>
  <c r="P445" i="1"/>
  <c r="P452" i="1"/>
  <c r="J460" i="1"/>
  <c r="L489" i="1"/>
  <c r="P489" i="1" s="1"/>
  <c r="P490" i="1"/>
  <c r="P496" i="1"/>
  <c r="F509" i="1"/>
  <c r="J511" i="1"/>
  <c r="C513" i="1"/>
  <c r="F513" i="1" s="1"/>
  <c r="F516" i="1"/>
  <c r="J525" i="1"/>
  <c r="F533" i="1"/>
  <c r="J535" i="1"/>
  <c r="F538" i="1"/>
  <c r="J541" i="1"/>
  <c r="F544" i="1"/>
  <c r="P544" i="1"/>
  <c r="L580" i="1"/>
  <c r="P580" i="1" s="1"/>
  <c r="P581" i="1"/>
  <c r="P589" i="1"/>
  <c r="P596" i="1"/>
  <c r="P601" i="1"/>
  <c r="P613" i="1"/>
  <c r="P619" i="1"/>
  <c r="J624" i="1"/>
  <c r="F627" i="1"/>
  <c r="J596" i="1"/>
  <c r="O596" i="1"/>
  <c r="J603" i="1"/>
  <c r="J607" i="1"/>
  <c r="J506" i="1"/>
  <c r="O506" i="1"/>
  <c r="J401" i="1"/>
  <c r="J263" i="1"/>
  <c r="J255" i="1"/>
  <c r="J247" i="1"/>
  <c r="X230" i="1"/>
  <c r="J231" i="1"/>
  <c r="J125" i="1"/>
  <c r="P125" i="1"/>
  <c r="R125" i="1" s="1"/>
  <c r="J117" i="1"/>
  <c r="J62" i="1"/>
  <c r="X51" i="1"/>
  <c r="K400" i="1"/>
  <c r="N401" i="1"/>
  <c r="O401" i="1"/>
  <c r="L314" i="1"/>
  <c r="P315" i="1"/>
  <c r="T315" i="1" s="1"/>
  <c r="O122" i="1"/>
  <c r="N122" i="1"/>
  <c r="L186" i="1"/>
  <c r="L185" i="1" s="1"/>
  <c r="P212" i="1"/>
  <c r="T212" i="1" s="1"/>
  <c r="L353" i="1"/>
  <c r="P354" i="1"/>
  <c r="T354" i="1" s="1"/>
  <c r="L336" i="1"/>
  <c r="P336" i="1" s="1"/>
  <c r="P337" i="1"/>
  <c r="T337" i="1" s="1"/>
  <c r="K254" i="1"/>
  <c r="N255" i="1"/>
  <c r="O255" i="1"/>
  <c r="L246" i="1"/>
  <c r="P247" i="1"/>
  <c r="T247" i="1" s="1"/>
  <c r="K246" i="1"/>
  <c r="O247" i="1"/>
  <c r="N247" i="1"/>
  <c r="J551" i="1"/>
  <c r="J516" i="1"/>
  <c r="J483" i="1"/>
  <c r="J428" i="1"/>
  <c r="J391" i="1"/>
  <c r="J354" i="1"/>
  <c r="J337" i="1"/>
  <c r="U270" i="1"/>
  <c r="P17" i="3" s="1"/>
  <c r="L17" i="3"/>
  <c r="J187" i="1"/>
  <c r="P42" i="1"/>
  <c r="N621" i="1"/>
  <c r="O621" i="1"/>
  <c r="O88" i="1"/>
  <c r="N88" i="1"/>
  <c r="N587" i="1"/>
  <c r="O587" i="1"/>
  <c r="N494" i="1"/>
  <c r="O494" i="1"/>
  <c r="O619" i="1"/>
  <c r="N619" i="1"/>
  <c r="N516" i="1"/>
  <c r="O516" i="1"/>
  <c r="K390" i="1"/>
  <c r="X390" i="1" s="1"/>
  <c r="O391" i="1"/>
  <c r="L550" i="1"/>
  <c r="P551" i="1"/>
  <c r="T551" i="1" s="1"/>
  <c r="L322" i="1"/>
  <c r="T324" i="1"/>
  <c r="P293" i="1"/>
  <c r="T293" i="1" s="1"/>
  <c r="N293" i="1"/>
  <c r="Y636" i="1"/>
  <c r="O137" i="1"/>
  <c r="S137" i="1" s="1"/>
  <c r="K482" i="1"/>
  <c r="N483" i="1"/>
  <c r="O483" i="1"/>
  <c r="N535" i="1"/>
  <c r="O535" i="1"/>
  <c r="N533" i="1"/>
  <c r="O533" i="1"/>
  <c r="N445" i="1"/>
  <c r="O445" i="1"/>
  <c r="O443" i="1"/>
  <c r="N443" i="1"/>
  <c r="K572" i="1"/>
  <c r="O573" i="1"/>
  <c r="N573" i="1"/>
  <c r="K603" i="1"/>
  <c r="O607" i="1"/>
  <c r="N607" i="1"/>
  <c r="K427" i="1"/>
  <c r="O428" i="1"/>
  <c r="N428" i="1"/>
  <c r="N538" i="1"/>
  <c r="O538" i="1"/>
  <c r="O141" i="1"/>
  <c r="N141" i="1"/>
  <c r="N91" i="1"/>
  <c r="O91" i="1"/>
  <c r="N86" i="1"/>
  <c r="O86" i="1"/>
  <c r="N62" i="1"/>
  <c r="N624" i="1"/>
  <c r="O624" i="1"/>
  <c r="O408" i="1"/>
  <c r="N408" i="1"/>
  <c r="O471" i="1"/>
  <c r="R471" i="1" s="1"/>
  <c r="O525" i="1"/>
  <c r="N525" i="1"/>
  <c r="O509" i="1"/>
  <c r="N509" i="1"/>
  <c r="O504" i="1"/>
  <c r="N504" i="1"/>
  <c r="N452" i="1"/>
  <c r="O452" i="1"/>
  <c r="O627" i="1"/>
  <c r="N627" i="1"/>
  <c r="N425" i="1"/>
  <c r="O117" i="1"/>
  <c r="P137" i="1"/>
  <c r="N137" i="1"/>
  <c r="O615" i="1"/>
  <c r="N615" i="1"/>
  <c r="O613" i="1"/>
  <c r="N613" i="1"/>
  <c r="O599" i="1"/>
  <c r="N599" i="1"/>
  <c r="N594" i="1"/>
  <c r="O594" i="1"/>
  <c r="O454" i="1"/>
  <c r="N454" i="1"/>
  <c r="O449" i="1"/>
  <c r="N449" i="1"/>
  <c r="O438" i="1"/>
  <c r="N438" i="1"/>
  <c r="N436" i="1"/>
  <c r="O436" i="1"/>
  <c r="N544" i="1"/>
  <c r="O544" i="1"/>
  <c r="O527" i="1"/>
  <c r="N527" i="1"/>
  <c r="K262" i="1"/>
  <c r="N263" i="1"/>
  <c r="O263" i="1"/>
  <c r="M47" i="1"/>
  <c r="N115" i="1"/>
  <c r="O115" i="1"/>
  <c r="O601" i="1"/>
  <c r="O187" i="1"/>
  <c r="R187" i="1" s="1"/>
  <c r="K550" i="1"/>
  <c r="O551" i="1"/>
  <c r="N551" i="1"/>
  <c r="N66" i="1"/>
  <c r="O66" i="1"/>
  <c r="N231" i="1"/>
  <c r="O231" i="1"/>
  <c r="K637" i="1"/>
  <c r="N638" i="1"/>
  <c r="O638" i="1"/>
  <c r="K580" i="1"/>
  <c r="N581" i="1"/>
  <c r="O581" i="1"/>
  <c r="O511" i="1"/>
  <c r="S511" i="1" s="1"/>
  <c r="O496" i="1"/>
  <c r="O460" i="1"/>
  <c r="S460" i="1" s="1"/>
  <c r="O425" i="1"/>
  <c r="S425" i="1" s="1"/>
  <c r="N324" i="1"/>
  <c r="X323" i="1"/>
  <c r="K314" i="1"/>
  <c r="N315" i="1"/>
  <c r="O315" i="1"/>
  <c r="O293" i="1"/>
  <c r="S293" i="1" s="1"/>
  <c r="P273" i="1"/>
  <c r="K220" i="1"/>
  <c r="N221" i="1"/>
  <c r="O221" i="1"/>
  <c r="O212" i="1"/>
  <c r="S212" i="1" s="1"/>
  <c r="K186" i="1"/>
  <c r="N212" i="1"/>
  <c r="S125" i="1"/>
  <c r="O68" i="1"/>
  <c r="S68" i="1" s="1"/>
  <c r="N589" i="1"/>
  <c r="O589" i="1"/>
  <c r="K336" i="1"/>
  <c r="N337" i="1"/>
  <c r="O337" i="1"/>
  <c r="K353" i="1"/>
  <c r="O354" i="1"/>
  <c r="N354" i="1"/>
  <c r="N42" i="1"/>
  <c r="O42" i="1"/>
  <c r="F324" i="1"/>
  <c r="D353" i="1"/>
  <c r="F354" i="1"/>
  <c r="D550" i="1"/>
  <c r="F551" i="1"/>
  <c r="D580" i="1"/>
  <c r="F581" i="1"/>
  <c r="W631" i="1"/>
  <c r="V631" i="1"/>
  <c r="D637" i="1"/>
  <c r="F638" i="1"/>
  <c r="C448" i="1"/>
  <c r="C186" i="1"/>
  <c r="C51" i="1"/>
  <c r="C114" i="1"/>
  <c r="C314" i="1"/>
  <c r="C336" i="1"/>
  <c r="C400" i="1"/>
  <c r="C489" i="1"/>
  <c r="F489" i="1" s="1"/>
  <c r="C246" i="1"/>
  <c r="C254" i="1"/>
  <c r="C637" i="1"/>
  <c r="C580" i="1"/>
  <c r="C322" i="1"/>
  <c r="C572" i="1"/>
  <c r="L623" i="1"/>
  <c r="C390" i="1"/>
  <c r="C427" i="1"/>
  <c r="F427" i="1" s="1"/>
  <c r="C550" i="1"/>
  <c r="C220" i="1"/>
  <c r="F220" i="1" s="1"/>
  <c r="C482" i="1"/>
  <c r="D448" i="1"/>
  <c r="L272" i="1"/>
  <c r="L271" i="1" s="1"/>
  <c r="L270" i="1" s="1"/>
  <c r="L524" i="1"/>
  <c r="C14" i="1"/>
  <c r="K16" i="1"/>
  <c r="C459" i="1"/>
  <c r="L323" i="1"/>
  <c r="D51" i="1"/>
  <c r="D136" i="1"/>
  <c r="D586" i="1"/>
  <c r="D459" i="1"/>
  <c r="L459" i="1"/>
  <c r="Y537" i="1"/>
  <c r="Y586" i="1"/>
  <c r="C272" i="1"/>
  <c r="C612" i="1"/>
  <c r="C404" i="1"/>
  <c r="L65" i="1"/>
  <c r="D186" i="1"/>
  <c r="D185" i="1" s="1"/>
  <c r="D14" i="3" s="1"/>
  <c r="L14" i="1"/>
  <c r="Y114" i="1"/>
  <c r="D114" i="1"/>
  <c r="K272" i="1"/>
  <c r="D435" i="1"/>
  <c r="L435" i="1"/>
  <c r="K586" i="1"/>
  <c r="D612" i="1"/>
  <c r="C16" i="1"/>
  <c r="Y448" i="1"/>
  <c r="Y524" i="1"/>
  <c r="X322" i="1"/>
  <c r="Y322" i="1"/>
  <c r="K114" i="1"/>
  <c r="Y435" i="1"/>
  <c r="D16" i="1"/>
  <c r="D15" i="1" s="1"/>
  <c r="L448" i="1"/>
  <c r="D98" i="1"/>
  <c r="L114" i="1"/>
  <c r="D323" i="1"/>
  <c r="D322" i="1"/>
  <c r="L16" i="1"/>
  <c r="L15" i="1" s="1"/>
  <c r="K448" i="1"/>
  <c r="C493" i="1"/>
  <c r="D493" i="1"/>
  <c r="D537" i="1"/>
  <c r="Y612" i="1"/>
  <c r="D623" i="1"/>
  <c r="K612" i="1"/>
  <c r="L586" i="1"/>
  <c r="Y623" i="1"/>
  <c r="K623" i="1"/>
  <c r="Y459" i="1"/>
  <c r="C524" i="1"/>
  <c r="L537" i="1"/>
  <c r="D65" i="1"/>
  <c r="D14" i="1"/>
  <c r="K14" i="1"/>
  <c r="K65" i="1"/>
  <c r="D273" i="1"/>
  <c r="C323" i="1"/>
  <c r="D524" i="1"/>
  <c r="D404" i="1"/>
  <c r="K435" i="1"/>
  <c r="Y493" i="1"/>
  <c r="L493" i="1"/>
  <c r="L404" i="1"/>
  <c r="C435" i="1"/>
  <c r="C537" i="1"/>
  <c r="C586" i="1"/>
  <c r="K459" i="1"/>
  <c r="K493" i="1"/>
  <c r="L612" i="1"/>
  <c r="K524" i="1"/>
  <c r="K537" i="1"/>
  <c r="C623" i="1"/>
  <c r="X262" i="1" l="1"/>
  <c r="P353" i="1"/>
  <c r="X336" i="1"/>
  <c r="Y404" i="1"/>
  <c r="Y220" i="1"/>
  <c r="X637" i="1"/>
  <c r="Y637" i="1"/>
  <c r="X623" i="1"/>
  <c r="X612" i="1"/>
  <c r="X586" i="1"/>
  <c r="X580" i="1"/>
  <c r="Y550" i="1"/>
  <c r="X550" i="1"/>
  <c r="X537" i="1"/>
  <c r="X524" i="1"/>
  <c r="X493" i="1"/>
  <c r="X482" i="1"/>
  <c r="X459" i="1"/>
  <c r="X448" i="1"/>
  <c r="X435" i="1"/>
  <c r="X404" i="1"/>
  <c r="Y400" i="1"/>
  <c r="X400" i="1"/>
  <c r="Y353" i="1"/>
  <c r="X353" i="1"/>
  <c r="Y323" i="1"/>
  <c r="R324" i="1"/>
  <c r="W324" i="1" s="1"/>
  <c r="Y314" i="1"/>
  <c r="X314" i="1"/>
  <c r="Y272" i="1"/>
  <c r="X272" i="1"/>
  <c r="X254" i="1"/>
  <c r="X246" i="1"/>
  <c r="Y246" i="1"/>
  <c r="P246" i="1"/>
  <c r="T246" i="1" s="1"/>
  <c r="X220" i="1"/>
  <c r="X186" i="1"/>
  <c r="Y186" i="1"/>
  <c r="X114" i="1"/>
  <c r="Q48" i="1"/>
  <c r="L12" i="3" s="1"/>
  <c r="Y65" i="1"/>
  <c r="X65" i="1"/>
  <c r="P390" i="1"/>
  <c r="J427" i="1"/>
  <c r="P51" i="1"/>
  <c r="T51" i="1" s="1"/>
  <c r="J580" i="1"/>
  <c r="J637" i="1"/>
  <c r="J513" i="1"/>
  <c r="J489" i="1"/>
  <c r="J482" i="1"/>
  <c r="J400" i="1"/>
  <c r="J390" i="1"/>
  <c r="J353" i="1"/>
  <c r="J336" i="1"/>
  <c r="J314" i="1"/>
  <c r="J262" i="1"/>
  <c r="J254" i="1"/>
  <c r="J246" i="1"/>
  <c r="J220" i="1"/>
  <c r="Y185" i="1"/>
  <c r="N65" i="1"/>
  <c r="O16" i="1"/>
  <c r="O51" i="1"/>
  <c r="S51" i="1" s="1"/>
  <c r="J230" i="1"/>
  <c r="T62" i="1"/>
  <c r="R62" i="1"/>
  <c r="R117" i="1"/>
  <c r="S117" i="1"/>
  <c r="R137" i="1"/>
  <c r="W137" i="1" s="1"/>
  <c r="J51" i="1"/>
  <c r="J404" i="1"/>
  <c r="F482" i="1"/>
  <c r="J612" i="1"/>
  <c r="R601" i="1"/>
  <c r="W601" i="1" s="1"/>
  <c r="Y571" i="1"/>
  <c r="J586" i="1"/>
  <c r="P586" i="1"/>
  <c r="P98" i="1"/>
  <c r="J98" i="1"/>
  <c r="F246" i="1"/>
  <c r="T336" i="1"/>
  <c r="F390" i="1"/>
  <c r="J572" i="1"/>
  <c r="P612" i="1"/>
  <c r="P230" i="1"/>
  <c r="F623" i="1"/>
  <c r="F493" i="1"/>
  <c r="D335" i="1"/>
  <c r="D334" i="1" s="1"/>
  <c r="N186" i="1"/>
  <c r="N322" i="1"/>
  <c r="F336" i="1"/>
  <c r="P637" i="1"/>
  <c r="L229" i="1"/>
  <c r="P229" i="1" s="1"/>
  <c r="D245" i="1"/>
  <c r="F400" i="1"/>
  <c r="R496" i="1"/>
  <c r="V496" i="1" s="1"/>
  <c r="F537" i="1"/>
  <c r="F435" i="1"/>
  <c r="P323" i="1"/>
  <c r="T323" i="1" s="1"/>
  <c r="N580" i="1"/>
  <c r="N493" i="1"/>
  <c r="F51" i="1"/>
  <c r="F580" i="1"/>
  <c r="K245" i="1"/>
  <c r="W405" i="1"/>
  <c r="P524" i="1"/>
  <c r="J435" i="1"/>
  <c r="F572" i="1"/>
  <c r="F254" i="1"/>
  <c r="F186" i="1"/>
  <c r="F586" i="1"/>
  <c r="F524" i="1"/>
  <c r="J493" i="1"/>
  <c r="P185" i="1"/>
  <c r="T185" i="1" s="1"/>
  <c r="L245" i="1"/>
  <c r="P245" i="1" s="1"/>
  <c r="J448" i="1"/>
  <c r="S541" i="1"/>
  <c r="R541" i="1"/>
  <c r="F404" i="1"/>
  <c r="P435" i="1"/>
  <c r="F612" i="1"/>
  <c r="F314" i="1"/>
  <c r="F448" i="1"/>
  <c r="N98" i="1"/>
  <c r="O98" i="1"/>
  <c r="F136" i="1"/>
  <c r="P493" i="1"/>
  <c r="P537" i="1"/>
  <c r="J459" i="1"/>
  <c r="J524" i="1"/>
  <c r="J537" i="1"/>
  <c r="F114" i="1"/>
  <c r="L219" i="1"/>
  <c r="P220" i="1"/>
  <c r="S103" i="1"/>
  <c r="R103" i="1"/>
  <c r="S490" i="1"/>
  <c r="R490" i="1"/>
  <c r="F65" i="1"/>
  <c r="P448" i="1"/>
  <c r="P114" i="1"/>
  <c r="O489" i="1"/>
  <c r="N489" i="1"/>
  <c r="S423" i="1"/>
  <c r="R423" i="1"/>
  <c r="S99" i="1"/>
  <c r="R99" i="1"/>
  <c r="V99" i="1" s="1"/>
  <c r="F98" i="1"/>
  <c r="S52" i="1"/>
  <c r="R52" i="1"/>
  <c r="V52" i="1" s="1"/>
  <c r="D229" i="1"/>
  <c r="D218" i="1" s="1"/>
  <c r="D16" i="3" s="1"/>
  <c r="F230" i="1"/>
  <c r="R596" i="1"/>
  <c r="S596" i="1"/>
  <c r="S506" i="1"/>
  <c r="R506" i="1"/>
  <c r="L335" i="1"/>
  <c r="L334" i="1" s="1"/>
  <c r="P334" i="1" s="1"/>
  <c r="J186" i="1"/>
  <c r="P186" i="1"/>
  <c r="T186" i="1" s="1"/>
  <c r="J114" i="1"/>
  <c r="S401" i="1"/>
  <c r="R401" i="1"/>
  <c r="N400" i="1"/>
  <c r="O400" i="1"/>
  <c r="L313" i="1"/>
  <c r="P314" i="1"/>
  <c r="T314" i="1" s="1"/>
  <c r="S122" i="1"/>
  <c r="R122" i="1"/>
  <c r="S255" i="1"/>
  <c r="R255" i="1"/>
  <c r="N254" i="1"/>
  <c r="O254" i="1"/>
  <c r="S247" i="1"/>
  <c r="R247" i="1"/>
  <c r="O246" i="1"/>
  <c r="N246" i="1"/>
  <c r="P623" i="1"/>
  <c r="J623" i="1"/>
  <c r="J550" i="1"/>
  <c r="K335" i="1"/>
  <c r="K334" i="1" s="1"/>
  <c r="J272" i="1"/>
  <c r="J65" i="1"/>
  <c r="P14" i="1"/>
  <c r="K10" i="3" s="1"/>
  <c r="J14" i="1"/>
  <c r="P15" i="1"/>
  <c r="P16" i="1"/>
  <c r="J16" i="1"/>
  <c r="R621" i="1"/>
  <c r="S621" i="1"/>
  <c r="S88" i="1"/>
  <c r="R88" i="1"/>
  <c r="R587" i="1"/>
  <c r="S587" i="1"/>
  <c r="S494" i="1"/>
  <c r="R494" i="1"/>
  <c r="R619" i="1"/>
  <c r="S619" i="1"/>
  <c r="S516" i="1"/>
  <c r="R516" i="1"/>
  <c r="O513" i="1"/>
  <c r="N513" i="1"/>
  <c r="S391" i="1"/>
  <c r="R391" i="1"/>
  <c r="N390" i="1"/>
  <c r="O390" i="1"/>
  <c r="L549" i="1"/>
  <c r="P549" i="1" s="1"/>
  <c r="P550" i="1"/>
  <c r="T550" i="1" s="1"/>
  <c r="J323" i="1"/>
  <c r="J322" i="1"/>
  <c r="P322" i="1"/>
  <c r="T322" i="1" s="1"/>
  <c r="N323" i="1"/>
  <c r="R425" i="1"/>
  <c r="V425" i="1" s="1"/>
  <c r="P636" i="1"/>
  <c r="R511" i="1"/>
  <c r="W511" i="1" s="1"/>
  <c r="S496" i="1"/>
  <c r="O322" i="1"/>
  <c r="S322" i="1" s="1"/>
  <c r="P65" i="1"/>
  <c r="S483" i="1"/>
  <c r="R483" i="1"/>
  <c r="N482" i="1"/>
  <c r="O482" i="1"/>
  <c r="S535" i="1"/>
  <c r="R535" i="1"/>
  <c r="S533" i="1"/>
  <c r="R533" i="1"/>
  <c r="S445" i="1"/>
  <c r="R445" i="1"/>
  <c r="S443" i="1"/>
  <c r="R443" i="1"/>
  <c r="S573" i="1"/>
  <c r="R573" i="1"/>
  <c r="O572" i="1"/>
  <c r="N572" i="1"/>
  <c r="R607" i="1"/>
  <c r="S607" i="1"/>
  <c r="O603" i="1"/>
  <c r="N603" i="1"/>
  <c r="S428" i="1"/>
  <c r="R428" i="1"/>
  <c r="K389" i="1"/>
  <c r="O427" i="1"/>
  <c r="N427" i="1"/>
  <c r="S471" i="1"/>
  <c r="L458" i="1"/>
  <c r="P458" i="1" s="1"/>
  <c r="P459" i="1"/>
  <c r="W471" i="1"/>
  <c r="V471" i="1"/>
  <c r="S538" i="1"/>
  <c r="R538" i="1"/>
  <c r="S141" i="1"/>
  <c r="R141" i="1"/>
  <c r="S91" i="1"/>
  <c r="R91" i="1"/>
  <c r="S86" i="1"/>
  <c r="R86" i="1"/>
  <c r="K185" i="1"/>
  <c r="N185" i="1" s="1"/>
  <c r="R624" i="1"/>
  <c r="S624" i="1"/>
  <c r="P404" i="1"/>
  <c r="S408" i="1"/>
  <c r="R408" i="1"/>
  <c r="O404" i="1"/>
  <c r="S404" i="1" s="1"/>
  <c r="S525" i="1"/>
  <c r="R525" i="1"/>
  <c r="S509" i="1"/>
  <c r="R509" i="1"/>
  <c r="S504" i="1"/>
  <c r="R504" i="1"/>
  <c r="S452" i="1"/>
  <c r="R452" i="1"/>
  <c r="O623" i="1"/>
  <c r="N623" i="1"/>
  <c r="R627" i="1"/>
  <c r="S627" i="1"/>
  <c r="R460" i="1"/>
  <c r="V460" i="1" s="1"/>
  <c r="N404" i="1"/>
  <c r="R212" i="1"/>
  <c r="V212" i="1" s="1"/>
  <c r="S187" i="1"/>
  <c r="R615" i="1"/>
  <c r="S615" i="1"/>
  <c r="N612" i="1"/>
  <c r="O612" i="1"/>
  <c r="R613" i="1"/>
  <c r="S613" i="1"/>
  <c r="R599" i="1"/>
  <c r="S599" i="1"/>
  <c r="R594" i="1"/>
  <c r="S594" i="1"/>
  <c r="S454" i="1"/>
  <c r="R454" i="1"/>
  <c r="N448" i="1"/>
  <c r="O448" i="1"/>
  <c r="S449" i="1"/>
  <c r="R449" i="1"/>
  <c r="S438" i="1"/>
  <c r="R438" i="1"/>
  <c r="S436" i="1"/>
  <c r="R436" i="1"/>
  <c r="N435" i="1"/>
  <c r="O435" i="1"/>
  <c r="O537" i="1"/>
  <c r="N537" i="1"/>
  <c r="S544" i="1"/>
  <c r="R544" i="1"/>
  <c r="N524" i="1"/>
  <c r="O524" i="1"/>
  <c r="S527" i="1"/>
  <c r="R527" i="1"/>
  <c r="S263" i="1"/>
  <c r="R263" i="1"/>
  <c r="O262" i="1"/>
  <c r="N262" i="1"/>
  <c r="M46" i="1"/>
  <c r="R273" i="1"/>
  <c r="R293" i="1"/>
  <c r="W293" i="1" s="1"/>
  <c r="S115" i="1"/>
  <c r="R115" i="1"/>
  <c r="S601" i="1"/>
  <c r="S551" i="1"/>
  <c r="R551" i="1"/>
  <c r="W551" i="1" s="1"/>
  <c r="K549" i="1"/>
  <c r="O550" i="1"/>
  <c r="N550" i="1"/>
  <c r="S66" i="1"/>
  <c r="R66" i="1"/>
  <c r="S231" i="1"/>
  <c r="R231" i="1"/>
  <c r="K229" i="1"/>
  <c r="N230" i="1"/>
  <c r="O230" i="1"/>
  <c r="K636" i="1"/>
  <c r="N636" i="1" s="1"/>
  <c r="N637" i="1"/>
  <c r="R638" i="1"/>
  <c r="V638" i="1" s="1"/>
  <c r="S638" i="1"/>
  <c r="X636" i="1"/>
  <c r="O637" i="1"/>
  <c r="O580" i="1"/>
  <c r="S580" i="1" s="1"/>
  <c r="R581" i="1"/>
  <c r="V581" i="1" s="1"/>
  <c r="S581" i="1"/>
  <c r="O493" i="1"/>
  <c r="K458" i="1"/>
  <c r="N459" i="1"/>
  <c r="O459" i="1"/>
  <c r="O323" i="1"/>
  <c r="S323" i="1" s="1"/>
  <c r="S324" i="1"/>
  <c r="K313" i="1"/>
  <c r="K312" i="1" s="1"/>
  <c r="N314" i="1"/>
  <c r="S315" i="1"/>
  <c r="R315" i="1"/>
  <c r="X313" i="1"/>
  <c r="O314" i="1"/>
  <c r="K271" i="1"/>
  <c r="N272" i="1"/>
  <c r="O272" i="1"/>
  <c r="Y271" i="1"/>
  <c r="P272" i="1"/>
  <c r="K219" i="1"/>
  <c r="N220" i="1"/>
  <c r="S221" i="1"/>
  <c r="R221" i="1"/>
  <c r="X219" i="1"/>
  <c r="O220" i="1"/>
  <c r="W187" i="1"/>
  <c r="V187" i="1"/>
  <c r="O186" i="1"/>
  <c r="V125" i="1"/>
  <c r="W125" i="1"/>
  <c r="R68" i="1"/>
  <c r="V68" i="1" s="1"/>
  <c r="O65" i="1"/>
  <c r="S65" i="1" s="1"/>
  <c r="R589" i="1"/>
  <c r="S589" i="1"/>
  <c r="N586" i="1"/>
  <c r="O586" i="1"/>
  <c r="S337" i="1"/>
  <c r="R337" i="1"/>
  <c r="O336" i="1"/>
  <c r="N336" i="1"/>
  <c r="S354" i="1"/>
  <c r="R354" i="1"/>
  <c r="V354" i="1" s="1"/>
  <c r="N353" i="1"/>
  <c r="O353" i="1"/>
  <c r="N14" i="1"/>
  <c r="O14" i="1"/>
  <c r="K15" i="1"/>
  <c r="N16" i="1"/>
  <c r="S42" i="1"/>
  <c r="R42" i="1"/>
  <c r="N114" i="1"/>
  <c r="O114" i="1"/>
  <c r="T273" i="1"/>
  <c r="F273" i="1"/>
  <c r="F323" i="1"/>
  <c r="D312" i="1"/>
  <c r="F322" i="1"/>
  <c r="F353" i="1"/>
  <c r="T353" i="1"/>
  <c r="D458" i="1"/>
  <c r="F459" i="1"/>
  <c r="D549" i="1"/>
  <c r="F550" i="1"/>
  <c r="D636" i="1"/>
  <c r="F637" i="1"/>
  <c r="Y136" i="1"/>
  <c r="C335" i="1"/>
  <c r="C334" i="1" s="1"/>
  <c r="C245" i="1"/>
  <c r="C571" i="1"/>
  <c r="C481" i="1"/>
  <c r="L136" i="1"/>
  <c r="C636" i="1"/>
  <c r="C185" i="1"/>
  <c r="F185" i="1" s="1"/>
  <c r="C313" i="1"/>
  <c r="F313" i="1" s="1"/>
  <c r="C15" i="1"/>
  <c r="F16" i="1"/>
  <c r="C10" i="3"/>
  <c r="F14" i="1"/>
  <c r="C271" i="1"/>
  <c r="C458" i="1"/>
  <c r="C229" i="1"/>
  <c r="C219" i="1"/>
  <c r="F219" i="1" s="1"/>
  <c r="C549" i="1"/>
  <c r="C180" i="1"/>
  <c r="F180" i="1" s="1"/>
  <c r="D272" i="1"/>
  <c r="D481" i="1"/>
  <c r="L481" i="1"/>
  <c r="D571" i="1"/>
  <c r="D389" i="1"/>
  <c r="L389" i="1"/>
  <c r="L571" i="1"/>
  <c r="D50" i="1"/>
  <c r="D49" i="1" s="1"/>
  <c r="D48" i="1" s="1"/>
  <c r="K571" i="1"/>
  <c r="K481" i="1"/>
  <c r="C50" i="1"/>
  <c r="D10" i="3"/>
  <c r="X185" i="1" l="1"/>
  <c r="V137" i="1"/>
  <c r="P219" i="1"/>
  <c r="Y389" i="1"/>
  <c r="Y219" i="1"/>
  <c r="Y229" i="1"/>
  <c r="Y549" i="1"/>
  <c r="X571" i="1"/>
  <c r="X549" i="1"/>
  <c r="Y481" i="1"/>
  <c r="X481" i="1"/>
  <c r="N458" i="1"/>
  <c r="Y458" i="1"/>
  <c r="X458" i="1"/>
  <c r="X389" i="1"/>
  <c r="X335" i="1"/>
  <c r="Y335" i="1"/>
  <c r="Y334" i="1"/>
  <c r="Y313" i="1"/>
  <c r="X271" i="1"/>
  <c r="X245" i="1"/>
  <c r="Y245" i="1"/>
  <c r="Z46" i="1"/>
  <c r="X229" i="1"/>
  <c r="Q47" i="1"/>
  <c r="U47" i="1" s="1"/>
  <c r="Z47" i="1"/>
  <c r="R16" i="1"/>
  <c r="W16" i="1" s="1"/>
  <c r="J636" i="1"/>
  <c r="V601" i="1"/>
  <c r="J549" i="1"/>
  <c r="J458" i="1"/>
  <c r="X334" i="1"/>
  <c r="J245" i="1"/>
  <c r="J229" i="1"/>
  <c r="J219" i="1"/>
  <c r="J185" i="1"/>
  <c r="R51" i="1"/>
  <c r="W51" i="1" s="1"/>
  <c r="F245" i="1"/>
  <c r="T245" i="1"/>
  <c r="R493" i="1"/>
  <c r="W493" i="1" s="1"/>
  <c r="W496" i="1"/>
  <c r="F481" i="1"/>
  <c r="L218" i="1"/>
  <c r="P218" i="1" s="1"/>
  <c r="T218" i="1" s="1"/>
  <c r="W52" i="1"/>
  <c r="O245" i="1"/>
  <c r="S245" i="1" s="1"/>
  <c r="F229" i="1"/>
  <c r="F335" i="1"/>
  <c r="N219" i="1"/>
  <c r="N245" i="1"/>
  <c r="J335" i="1"/>
  <c r="F50" i="1"/>
  <c r="S98" i="1"/>
  <c r="R98" i="1"/>
  <c r="V98" i="1" s="1"/>
  <c r="S489" i="1"/>
  <c r="R489" i="1"/>
  <c r="W581" i="1"/>
  <c r="F458" i="1"/>
  <c r="J389" i="1"/>
  <c r="V423" i="1"/>
  <c r="W423" i="1"/>
  <c r="W99" i="1"/>
  <c r="V541" i="1"/>
  <c r="W541" i="1"/>
  <c r="J571" i="1"/>
  <c r="V490" i="1"/>
  <c r="W490" i="1"/>
  <c r="V103" i="1"/>
  <c r="W103" i="1"/>
  <c r="V596" i="1"/>
  <c r="W596" i="1"/>
  <c r="W506" i="1"/>
  <c r="V506" i="1"/>
  <c r="W425" i="1"/>
  <c r="P335" i="1"/>
  <c r="T335" i="1" s="1"/>
  <c r="N335" i="1"/>
  <c r="R14" i="1"/>
  <c r="W14" i="1" s="1"/>
  <c r="V401" i="1"/>
  <c r="W401" i="1"/>
  <c r="S400" i="1"/>
  <c r="R400" i="1"/>
  <c r="P313" i="1"/>
  <c r="T313" i="1" s="1"/>
  <c r="L312" i="1"/>
  <c r="P312" i="1" s="1"/>
  <c r="T312" i="1" s="1"/>
  <c r="W122" i="1"/>
  <c r="V122" i="1"/>
  <c r="S254" i="1"/>
  <c r="R254" i="1"/>
  <c r="V255" i="1"/>
  <c r="W255" i="1"/>
  <c r="S246" i="1"/>
  <c r="R246" i="1"/>
  <c r="W247" i="1"/>
  <c r="V247" i="1"/>
  <c r="L480" i="1"/>
  <c r="O335" i="1"/>
  <c r="S335" i="1" s="1"/>
  <c r="O313" i="1"/>
  <c r="S313" i="1" s="1"/>
  <c r="J313" i="1"/>
  <c r="J271" i="1"/>
  <c r="J15" i="1"/>
  <c r="W621" i="1"/>
  <c r="V621" i="1"/>
  <c r="V88" i="1"/>
  <c r="W88" i="1"/>
  <c r="R580" i="1"/>
  <c r="V587" i="1"/>
  <c r="W587" i="1"/>
  <c r="W494" i="1"/>
  <c r="V494" i="1"/>
  <c r="V619" i="1"/>
  <c r="W619" i="1"/>
  <c r="S513" i="1"/>
  <c r="R513" i="1"/>
  <c r="V516" i="1"/>
  <c r="W516" i="1"/>
  <c r="L570" i="1"/>
  <c r="P571" i="1"/>
  <c r="P481" i="1"/>
  <c r="J481" i="1"/>
  <c r="V511" i="1"/>
  <c r="V391" i="1"/>
  <c r="W391" i="1"/>
  <c r="S390" i="1"/>
  <c r="R390" i="1"/>
  <c r="F636" i="1"/>
  <c r="V551" i="1"/>
  <c r="W460" i="1"/>
  <c r="R322" i="1"/>
  <c r="V322" i="1" s="1"/>
  <c r="V293" i="1"/>
  <c r="W212" i="1"/>
  <c r="W68" i="1"/>
  <c r="S482" i="1"/>
  <c r="R482" i="1"/>
  <c r="V483" i="1"/>
  <c r="W483" i="1"/>
  <c r="V535" i="1"/>
  <c r="W535" i="1"/>
  <c r="V533" i="1"/>
  <c r="W533" i="1"/>
  <c r="V445" i="1"/>
  <c r="W445" i="1"/>
  <c r="V443" i="1"/>
  <c r="W443" i="1"/>
  <c r="O185" i="1"/>
  <c r="R185" i="1" s="1"/>
  <c r="M14" i="3" s="1"/>
  <c r="S572" i="1"/>
  <c r="R572" i="1"/>
  <c r="W573" i="1"/>
  <c r="V573" i="1"/>
  <c r="R603" i="1"/>
  <c r="S603" i="1"/>
  <c r="V607" i="1"/>
  <c r="W607" i="1"/>
  <c r="S427" i="1"/>
  <c r="R427" i="1"/>
  <c r="W428" i="1"/>
  <c r="V428" i="1"/>
  <c r="W538" i="1"/>
  <c r="V538" i="1"/>
  <c r="V141" i="1"/>
  <c r="W141" i="1"/>
  <c r="W91" i="1"/>
  <c r="V91" i="1"/>
  <c r="W86" i="1"/>
  <c r="V86" i="1"/>
  <c r="W62" i="1"/>
  <c r="V62" i="1"/>
  <c r="V624" i="1"/>
  <c r="W624" i="1"/>
  <c r="R404" i="1"/>
  <c r="W404" i="1" s="1"/>
  <c r="V408" i="1"/>
  <c r="W408" i="1"/>
  <c r="V525" i="1"/>
  <c r="W525" i="1"/>
  <c r="W509" i="1"/>
  <c r="V509" i="1"/>
  <c r="V504" i="1"/>
  <c r="W504" i="1"/>
  <c r="W452" i="1"/>
  <c r="V452" i="1"/>
  <c r="W627" i="1"/>
  <c r="V627" i="1"/>
  <c r="R623" i="1"/>
  <c r="S623" i="1"/>
  <c r="R65" i="1"/>
  <c r="W65" i="1" s="1"/>
  <c r="O219" i="1"/>
  <c r="R219" i="1" s="1"/>
  <c r="O458" i="1"/>
  <c r="S458" i="1" s="1"/>
  <c r="L388" i="1"/>
  <c r="P389" i="1"/>
  <c r="K136" i="1"/>
  <c r="O180" i="1"/>
  <c r="N180" i="1"/>
  <c r="K148" i="1"/>
  <c r="V117" i="1"/>
  <c r="W117" i="1"/>
  <c r="L50" i="1"/>
  <c r="P136" i="1"/>
  <c r="W615" i="1"/>
  <c r="V615" i="1"/>
  <c r="W613" i="1"/>
  <c r="V613" i="1"/>
  <c r="R612" i="1"/>
  <c r="S612" i="1"/>
  <c r="V599" i="1"/>
  <c r="W599" i="1"/>
  <c r="V594" i="1"/>
  <c r="W594" i="1"/>
  <c r="V454" i="1"/>
  <c r="W454" i="1"/>
  <c r="V449" i="1"/>
  <c r="W449" i="1"/>
  <c r="S448" i="1"/>
  <c r="R448" i="1"/>
  <c r="V438" i="1"/>
  <c r="W438" i="1"/>
  <c r="S435" i="1"/>
  <c r="R435" i="1"/>
  <c r="W436" i="1"/>
  <c r="V436" i="1"/>
  <c r="V544" i="1"/>
  <c r="W544" i="1"/>
  <c r="S537" i="1"/>
  <c r="R537" i="1"/>
  <c r="W527" i="1"/>
  <c r="V527" i="1"/>
  <c r="S524" i="1"/>
  <c r="R524" i="1"/>
  <c r="V324" i="1"/>
  <c r="V263" i="1"/>
  <c r="W263" i="1"/>
  <c r="S262" i="1"/>
  <c r="R262" i="1"/>
  <c r="M13" i="1"/>
  <c r="Q13" i="1" s="1"/>
  <c r="Q46" i="1"/>
  <c r="V115" i="1"/>
  <c r="W115" i="1"/>
  <c r="O549" i="1"/>
  <c r="N549" i="1"/>
  <c r="S550" i="1"/>
  <c r="R550" i="1"/>
  <c r="W550" i="1" s="1"/>
  <c r="O636" i="1"/>
  <c r="R636" i="1" s="1"/>
  <c r="W638" i="1"/>
  <c r="V66" i="1"/>
  <c r="W66" i="1"/>
  <c r="N229" i="1"/>
  <c r="O229" i="1"/>
  <c r="W231" i="1"/>
  <c r="V231" i="1"/>
  <c r="S230" i="1"/>
  <c r="R230" i="1"/>
  <c r="R323" i="1"/>
  <c r="V323" i="1" s="1"/>
  <c r="R637" i="1"/>
  <c r="V637" i="1" s="1"/>
  <c r="S637" i="1"/>
  <c r="S493" i="1"/>
  <c r="K480" i="1"/>
  <c r="N481" i="1"/>
  <c r="O481" i="1"/>
  <c r="S459" i="1"/>
  <c r="R459" i="1"/>
  <c r="V459" i="1" s="1"/>
  <c r="K388" i="1"/>
  <c r="N389" i="1"/>
  <c r="O389" i="1"/>
  <c r="W354" i="1"/>
  <c r="N313" i="1"/>
  <c r="X312" i="1"/>
  <c r="W315" i="1"/>
  <c r="V315" i="1"/>
  <c r="S314" i="1"/>
  <c r="R314" i="1"/>
  <c r="K270" i="1"/>
  <c r="N270" i="1" s="1"/>
  <c r="N271" i="1"/>
  <c r="Y270" i="1"/>
  <c r="P271" i="1"/>
  <c r="S272" i="1"/>
  <c r="R272" i="1"/>
  <c r="O271" i="1"/>
  <c r="K218" i="1"/>
  <c r="V221" i="1"/>
  <c r="W221" i="1"/>
  <c r="S220" i="1"/>
  <c r="R220" i="1"/>
  <c r="S186" i="1"/>
  <c r="R186" i="1"/>
  <c r="S14" i="1"/>
  <c r="N10" i="3" s="1"/>
  <c r="S16" i="1"/>
  <c r="K570" i="1"/>
  <c r="O571" i="1"/>
  <c r="N571" i="1"/>
  <c r="R586" i="1"/>
  <c r="S586" i="1"/>
  <c r="W589" i="1"/>
  <c r="V589" i="1"/>
  <c r="S336" i="1"/>
  <c r="R336" i="1"/>
  <c r="W337" i="1"/>
  <c r="V337" i="1"/>
  <c r="S353" i="1"/>
  <c r="R353" i="1"/>
  <c r="V353" i="1" s="1"/>
  <c r="N334" i="1"/>
  <c r="O334" i="1"/>
  <c r="W42" i="1"/>
  <c r="V42" i="1"/>
  <c r="N15" i="1"/>
  <c r="O15" i="1"/>
  <c r="R15" i="1" s="1"/>
  <c r="S114" i="1"/>
  <c r="R114" i="1"/>
  <c r="F15" i="1"/>
  <c r="F10" i="3"/>
  <c r="G10" i="3" s="1"/>
  <c r="W273" i="1"/>
  <c r="V273" i="1"/>
  <c r="D271" i="1"/>
  <c r="F272" i="1"/>
  <c r="T272" i="1"/>
  <c r="D18" i="3"/>
  <c r="D19" i="3"/>
  <c r="T334" i="1"/>
  <c r="F334" i="1"/>
  <c r="D388" i="1"/>
  <c r="D20" i="3" s="1"/>
  <c r="D480" i="1"/>
  <c r="T549" i="1"/>
  <c r="F549" i="1"/>
  <c r="D570" i="1"/>
  <c r="F571" i="1"/>
  <c r="C14" i="3"/>
  <c r="C312" i="1"/>
  <c r="F312" i="1" s="1"/>
  <c r="C148" i="1"/>
  <c r="F148" i="1" s="1"/>
  <c r="C394" i="1"/>
  <c r="C49" i="1"/>
  <c r="C480" i="1"/>
  <c r="C218" i="1"/>
  <c r="F218" i="1" s="1"/>
  <c r="C270" i="1"/>
  <c r="C570" i="1"/>
  <c r="D13" i="3"/>
  <c r="J10" i="3"/>
  <c r="D12" i="3"/>
  <c r="Y480" i="1" l="1"/>
  <c r="X270" i="1"/>
  <c r="Y570" i="1"/>
  <c r="X570" i="1"/>
  <c r="X480" i="1"/>
  <c r="X388" i="1"/>
  <c r="Y388" i="1"/>
  <c r="Y312" i="1"/>
  <c r="Y218" i="1"/>
  <c r="X218" i="1"/>
  <c r="X148" i="1"/>
  <c r="X136" i="1"/>
  <c r="Y50" i="1"/>
  <c r="P570" i="1"/>
  <c r="K22" i="3" s="1"/>
  <c r="J570" i="1"/>
  <c r="J334" i="1"/>
  <c r="J312" i="1"/>
  <c r="J218" i="1"/>
  <c r="J148" i="1"/>
  <c r="V51" i="1"/>
  <c r="O136" i="1"/>
  <c r="S136" i="1" s="1"/>
  <c r="V493" i="1"/>
  <c r="S14" i="3"/>
  <c r="U14" i="3"/>
  <c r="N312" i="1"/>
  <c r="P480" i="1"/>
  <c r="T480" i="1" s="1"/>
  <c r="V14" i="1"/>
  <c r="T10" i="3" s="1"/>
  <c r="N218" i="1"/>
  <c r="J388" i="1"/>
  <c r="R245" i="1"/>
  <c r="V245" i="1" s="1"/>
  <c r="V15" i="1"/>
  <c r="V16" i="1"/>
  <c r="N388" i="1"/>
  <c r="W98" i="1"/>
  <c r="C389" i="1"/>
  <c r="F389" i="1" s="1"/>
  <c r="F394" i="1"/>
  <c r="S394" i="1"/>
  <c r="V489" i="1"/>
  <c r="W489" i="1"/>
  <c r="N480" i="1"/>
  <c r="R313" i="1"/>
  <c r="V313" i="1" s="1"/>
  <c r="C13" i="3"/>
  <c r="F49" i="1"/>
  <c r="S219" i="1"/>
  <c r="W400" i="1"/>
  <c r="V400" i="1"/>
  <c r="W322" i="1"/>
  <c r="K50" i="1"/>
  <c r="K49" i="1" s="1"/>
  <c r="K48" i="1" s="1"/>
  <c r="W254" i="1"/>
  <c r="V254" i="1"/>
  <c r="W246" i="1"/>
  <c r="V246" i="1"/>
  <c r="J480" i="1"/>
  <c r="R335" i="1"/>
  <c r="W335" i="1" s="1"/>
  <c r="J270" i="1"/>
  <c r="J136" i="1"/>
  <c r="W580" i="1"/>
  <c r="V580" i="1"/>
  <c r="W513" i="1"/>
  <c r="V513" i="1"/>
  <c r="D21" i="3"/>
  <c r="W390" i="1"/>
  <c r="V390" i="1"/>
  <c r="F570" i="1"/>
  <c r="W459" i="1"/>
  <c r="P388" i="1"/>
  <c r="K20" i="3" s="1"/>
  <c r="P270" i="1"/>
  <c r="S185" i="1"/>
  <c r="N14" i="3" s="1"/>
  <c r="N136" i="1"/>
  <c r="P50" i="1"/>
  <c r="T50" i="1" s="1"/>
  <c r="L49" i="1"/>
  <c r="V482" i="1"/>
  <c r="W482" i="1"/>
  <c r="V572" i="1"/>
  <c r="W572" i="1"/>
  <c r="V603" i="1"/>
  <c r="W603" i="1"/>
  <c r="W427" i="1"/>
  <c r="V427" i="1"/>
  <c r="R458" i="1"/>
  <c r="W458" i="1" s="1"/>
  <c r="V404" i="1"/>
  <c r="O270" i="1"/>
  <c r="S270" i="1" s="1"/>
  <c r="V65" i="1"/>
  <c r="W353" i="1"/>
  <c r="V623" i="1"/>
  <c r="W623" i="1"/>
  <c r="S180" i="1"/>
  <c r="R180" i="1"/>
  <c r="N148" i="1"/>
  <c r="O148" i="1"/>
  <c r="S636" i="1"/>
  <c r="V612" i="1"/>
  <c r="W612" i="1"/>
  <c r="W448" i="1"/>
  <c r="V448" i="1"/>
  <c r="W435" i="1"/>
  <c r="V435" i="1"/>
  <c r="V537" i="1"/>
  <c r="W537" i="1"/>
  <c r="V524" i="1"/>
  <c r="W524" i="1"/>
  <c r="W323" i="1"/>
  <c r="W262" i="1"/>
  <c r="V262" i="1"/>
  <c r="O218" i="1"/>
  <c r="R218" i="1" s="1"/>
  <c r="L11" i="3"/>
  <c r="U46" i="1"/>
  <c r="P11" i="3" s="1"/>
  <c r="L9" i="3"/>
  <c r="U13" i="1"/>
  <c r="P9" i="3" s="1"/>
  <c r="V636" i="1"/>
  <c r="W636" i="1"/>
  <c r="V550" i="1"/>
  <c r="S549" i="1"/>
  <c r="R549" i="1"/>
  <c r="V549" i="1" s="1"/>
  <c r="W637" i="1"/>
  <c r="W230" i="1"/>
  <c r="V230" i="1"/>
  <c r="S229" i="1"/>
  <c r="R229" i="1"/>
  <c r="O480" i="1"/>
  <c r="S480" i="1" s="1"/>
  <c r="S481" i="1"/>
  <c r="R481" i="1"/>
  <c r="O388" i="1"/>
  <c r="R389" i="1"/>
  <c r="O312" i="1"/>
  <c r="S312" i="1" s="1"/>
  <c r="V314" i="1"/>
  <c r="W314" i="1"/>
  <c r="S271" i="1"/>
  <c r="R271" i="1"/>
  <c r="W219" i="1"/>
  <c r="V219" i="1"/>
  <c r="V220" i="1"/>
  <c r="W220" i="1"/>
  <c r="V185" i="1"/>
  <c r="W185" i="1"/>
  <c r="V186" i="1"/>
  <c r="W186" i="1"/>
  <c r="W586" i="1"/>
  <c r="V586" i="1"/>
  <c r="S571" i="1"/>
  <c r="R571" i="1"/>
  <c r="W571" i="1" s="1"/>
  <c r="O570" i="1"/>
  <c r="N570" i="1"/>
  <c r="V336" i="1"/>
  <c r="W336" i="1"/>
  <c r="S334" i="1"/>
  <c r="R334" i="1"/>
  <c r="V334" i="1" s="1"/>
  <c r="S15" i="1"/>
  <c r="W15" i="1"/>
  <c r="V114" i="1"/>
  <c r="W114" i="1"/>
  <c r="D270" i="1"/>
  <c r="T271" i="1"/>
  <c r="F271" i="1"/>
  <c r="V272" i="1"/>
  <c r="W272" i="1"/>
  <c r="F480" i="1"/>
  <c r="D22" i="3"/>
  <c r="F15" i="3"/>
  <c r="G15" i="3" s="1"/>
  <c r="C15" i="3"/>
  <c r="C19" i="3"/>
  <c r="C18" i="3"/>
  <c r="F18" i="3"/>
  <c r="G18" i="3" s="1"/>
  <c r="C22" i="3"/>
  <c r="C16" i="3"/>
  <c r="C48" i="1"/>
  <c r="F48" i="1" s="1"/>
  <c r="C17" i="3"/>
  <c r="C21" i="3"/>
  <c r="K14" i="3"/>
  <c r="O14" i="3"/>
  <c r="M10" i="3"/>
  <c r="W10" i="3"/>
  <c r="F14" i="3"/>
  <c r="G14" i="3" s="1"/>
  <c r="K18" i="3"/>
  <c r="O18" i="3"/>
  <c r="J14" i="3"/>
  <c r="R136" i="1" l="1"/>
  <c r="V136" i="1" s="1"/>
  <c r="Y49" i="1"/>
  <c r="X50" i="1"/>
  <c r="X49" i="1"/>
  <c r="W245" i="1"/>
  <c r="S10" i="3"/>
  <c r="U10" i="3"/>
  <c r="W313" i="1"/>
  <c r="W389" i="1"/>
  <c r="C388" i="1"/>
  <c r="S388" i="1" s="1"/>
  <c r="N20" i="3" s="1"/>
  <c r="S389" i="1"/>
  <c r="W394" i="1"/>
  <c r="V394" i="1"/>
  <c r="N50" i="1"/>
  <c r="V335" i="1"/>
  <c r="J50" i="1"/>
  <c r="O50" i="1"/>
  <c r="S50" i="1" s="1"/>
  <c r="R270" i="1"/>
  <c r="S218" i="1"/>
  <c r="N16" i="3" s="1"/>
  <c r="W136" i="1"/>
  <c r="L48" i="1"/>
  <c r="N48" i="1" s="1"/>
  <c r="P49" i="1"/>
  <c r="T49" i="1" s="1"/>
  <c r="N49" i="1"/>
  <c r="V458" i="1"/>
  <c r="V10" i="3"/>
  <c r="Q10" i="3"/>
  <c r="R10" i="3"/>
  <c r="R388" i="1"/>
  <c r="S148" i="1"/>
  <c r="R148" i="1"/>
  <c r="V180" i="1"/>
  <c r="W180" i="1"/>
  <c r="V389" i="1"/>
  <c r="R312" i="1"/>
  <c r="V312" i="1" s="1"/>
  <c r="W549" i="1"/>
  <c r="W334" i="1"/>
  <c r="W19" i="3" s="1"/>
  <c r="V229" i="1"/>
  <c r="W229" i="1"/>
  <c r="R480" i="1"/>
  <c r="V480" i="1" s="1"/>
  <c r="W481" i="1"/>
  <c r="V481" i="1"/>
  <c r="V218" i="1"/>
  <c r="W218" i="1"/>
  <c r="V571" i="1"/>
  <c r="S570" i="1"/>
  <c r="N22" i="3" s="1"/>
  <c r="R570" i="1"/>
  <c r="K47" i="1"/>
  <c r="W271" i="1"/>
  <c r="V271" i="1"/>
  <c r="D17" i="3"/>
  <c r="T270" i="1"/>
  <c r="O17" i="3" s="1"/>
  <c r="F270" i="1"/>
  <c r="F17" i="3" s="1"/>
  <c r="G17" i="3" s="1"/>
  <c r="D47" i="1"/>
  <c r="C12" i="3"/>
  <c r="C47" i="1"/>
  <c r="T14" i="3"/>
  <c r="J16" i="3"/>
  <c r="O19" i="3"/>
  <c r="K19" i="3"/>
  <c r="N21" i="3"/>
  <c r="J21" i="3"/>
  <c r="N19" i="3"/>
  <c r="J19" i="3"/>
  <c r="W14" i="3"/>
  <c r="O16" i="3"/>
  <c r="K16" i="3"/>
  <c r="O21" i="3"/>
  <c r="K21" i="3"/>
  <c r="F16" i="3"/>
  <c r="G16" i="3" s="1"/>
  <c r="N17" i="3"/>
  <c r="J17" i="3"/>
  <c r="N18" i="3"/>
  <c r="J18" i="3"/>
  <c r="F22" i="3"/>
  <c r="G22" i="3" s="1"/>
  <c r="J20" i="3"/>
  <c r="F19" i="3"/>
  <c r="G19" i="3" s="1"/>
  <c r="J22" i="3"/>
  <c r="K17" i="3"/>
  <c r="F21" i="3"/>
  <c r="G21" i="3" s="1"/>
  <c r="Y48" i="1" l="1"/>
  <c r="X48" i="1"/>
  <c r="J49" i="1"/>
  <c r="O49" i="1"/>
  <c r="S49" i="1" s="1"/>
  <c r="F388" i="1"/>
  <c r="F20" i="3" s="1"/>
  <c r="G20" i="3" s="1"/>
  <c r="C20" i="3"/>
  <c r="R50" i="1"/>
  <c r="V50" i="1" s="1"/>
  <c r="P48" i="1"/>
  <c r="T48" i="1" s="1"/>
  <c r="L47" i="1"/>
  <c r="N47" i="1" s="1"/>
  <c r="W388" i="1"/>
  <c r="W20" i="3" s="1"/>
  <c r="V14" i="3"/>
  <c r="R14" i="3"/>
  <c r="Q14" i="3"/>
  <c r="W148" i="1"/>
  <c r="V148" i="1"/>
  <c r="W312" i="1"/>
  <c r="W18" i="3" s="1"/>
  <c r="W480" i="1"/>
  <c r="W21" i="3" s="1"/>
  <c r="W570" i="1"/>
  <c r="W22" i="3" s="1"/>
  <c r="V570" i="1"/>
  <c r="T22" i="3" s="1"/>
  <c r="K46" i="1"/>
  <c r="F47" i="1"/>
  <c r="D46" i="1"/>
  <c r="W270" i="1"/>
  <c r="W17" i="3" s="1"/>
  <c r="V270" i="1"/>
  <c r="T17" i="3" s="1"/>
  <c r="C46" i="1"/>
  <c r="T16" i="3"/>
  <c r="M16" i="3"/>
  <c r="T18" i="3"/>
  <c r="M18" i="3"/>
  <c r="W16" i="3"/>
  <c r="T21" i="3"/>
  <c r="M21" i="3"/>
  <c r="M17" i="3"/>
  <c r="T19" i="3"/>
  <c r="M19" i="3"/>
  <c r="M20" i="3"/>
  <c r="M22" i="3"/>
  <c r="U22" i="3" s="1"/>
  <c r="Y47" i="1" l="1"/>
  <c r="R49" i="1"/>
  <c r="W49" i="1" s="1"/>
  <c r="O48" i="1"/>
  <c r="S48" i="1" s="1"/>
  <c r="J48" i="1"/>
  <c r="U18" i="3"/>
  <c r="S18" i="3"/>
  <c r="U16" i="3"/>
  <c r="S16" i="3"/>
  <c r="S19" i="3"/>
  <c r="U19" i="3"/>
  <c r="S22" i="3"/>
  <c r="U21" i="3"/>
  <c r="S21" i="3"/>
  <c r="U20" i="3"/>
  <c r="S20" i="3"/>
  <c r="U17" i="3"/>
  <c r="S17" i="3"/>
  <c r="V388" i="1"/>
  <c r="T20" i="3" s="1"/>
  <c r="W50" i="1"/>
  <c r="L46" i="1"/>
  <c r="P47" i="1"/>
  <c r="T47" i="1" s="1"/>
  <c r="V17" i="3"/>
  <c r="Q17" i="3"/>
  <c r="R17" i="3"/>
  <c r="V18" i="3"/>
  <c r="R18" i="3"/>
  <c r="Q18" i="3"/>
  <c r="V16" i="3"/>
  <c r="Q16" i="3"/>
  <c r="R16" i="3"/>
  <c r="V19" i="3"/>
  <c r="Q19" i="3"/>
  <c r="R19" i="3"/>
  <c r="V21" i="3"/>
  <c r="Q21" i="3"/>
  <c r="R21" i="3"/>
  <c r="V20" i="3"/>
  <c r="Q20" i="3"/>
  <c r="R20" i="3"/>
  <c r="V22" i="3"/>
  <c r="Q22" i="3"/>
  <c r="R22" i="3"/>
  <c r="K13" i="1"/>
  <c r="F46" i="1"/>
  <c r="D13" i="1"/>
  <c r="D11" i="3"/>
  <c r="C13" i="1"/>
  <c r="C11" i="3"/>
  <c r="K15" i="3"/>
  <c r="Y46" i="1" l="1"/>
  <c r="O47" i="1"/>
  <c r="S47" i="1" s="1"/>
  <c r="X47" i="1"/>
  <c r="V49" i="1"/>
  <c r="X46" i="1"/>
  <c r="R48" i="1"/>
  <c r="W48" i="1" s="1"/>
  <c r="J47" i="1"/>
  <c r="L13" i="1"/>
  <c r="P46" i="1"/>
  <c r="T46" i="1" s="1"/>
  <c r="N46" i="1"/>
  <c r="D9" i="3"/>
  <c r="D8" i="1"/>
  <c r="C9" i="3"/>
  <c r="C8" i="1"/>
  <c r="F13" i="1"/>
  <c r="F8" i="1" s="1"/>
  <c r="P13" i="1" l="1"/>
  <c r="R47" i="1"/>
  <c r="W47" i="1" s="1"/>
  <c r="O46" i="1"/>
  <c r="S46" i="1" s="1"/>
  <c r="J46" i="1"/>
  <c r="J13" i="1"/>
  <c r="V48" i="1"/>
  <c r="N13" i="1"/>
  <c r="O13" i="3"/>
  <c r="K13" i="3"/>
  <c r="V47" i="1" l="1"/>
  <c r="R46" i="1"/>
  <c r="V46" i="1" s="1"/>
  <c r="O13" i="1"/>
  <c r="R13" i="1" s="1"/>
  <c r="M9" i="3" s="1"/>
  <c r="O12" i="3"/>
  <c r="K12" i="3"/>
  <c r="W46" i="1" l="1"/>
  <c r="X13" i="1"/>
  <c r="X14" i="1" s="1"/>
  <c r="O11" i="3"/>
  <c r="K11" i="3"/>
  <c r="K9" i="3" l="1"/>
  <c r="T13" i="1"/>
  <c r="O9" i="3" s="1"/>
  <c r="J15" i="3" l="1"/>
  <c r="N15" i="3" l="1"/>
  <c r="W15" i="3" l="1"/>
  <c r="M15" i="3"/>
  <c r="T15" i="3"/>
  <c r="S15" i="3" l="1"/>
  <c r="U15" i="3"/>
  <c r="V15" i="3"/>
  <c r="Q15" i="3"/>
  <c r="R15" i="3"/>
  <c r="N13" i="3"/>
  <c r="J13" i="3"/>
  <c r="F13" i="3"/>
  <c r="G13" i="3" s="1"/>
  <c r="M13" i="3" l="1"/>
  <c r="W12" i="3"/>
  <c r="T13" i="3"/>
  <c r="F12" i="3"/>
  <c r="G12" i="3" s="1"/>
  <c r="W13" i="3"/>
  <c r="J12" i="3"/>
  <c r="N12" i="3"/>
  <c r="U13" i="3" l="1"/>
  <c r="S13" i="3"/>
  <c r="V13" i="3"/>
  <c r="Q13" i="3"/>
  <c r="R13" i="3"/>
  <c r="M12" i="3"/>
  <c r="T12" i="3"/>
  <c r="U12" i="3" l="1"/>
  <c r="S12" i="3"/>
  <c r="V12" i="3"/>
  <c r="Q12" i="3"/>
  <c r="R12" i="3"/>
  <c r="N11" i="3"/>
  <c r="J11" i="3"/>
  <c r="W11" i="3"/>
  <c r="F11" i="3"/>
  <c r="G11" i="3" s="1"/>
  <c r="S13" i="1" l="1"/>
  <c r="N9" i="3" s="1"/>
  <c r="J9" i="3"/>
  <c r="F9" i="3"/>
  <c r="G9" i="3" s="1"/>
  <c r="T11" i="3"/>
  <c r="W13" i="1"/>
  <c r="W9" i="3" s="1"/>
  <c r="M11" i="3"/>
  <c r="U11" i="3" l="1"/>
  <c r="S11" i="3"/>
  <c r="V11" i="3"/>
  <c r="R11" i="3"/>
  <c r="Q11" i="3"/>
  <c r="V13" i="1"/>
  <c r="T9" i="3" s="1"/>
  <c r="U9" i="3" l="1"/>
  <c r="S9" i="3"/>
  <c r="V9" i="3"/>
  <c r="R9" i="3"/>
  <c r="Q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C638" authorId="0" shapeId="0" xr:uid="{00000000-0006-0000-0100-000001000000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D638" authorId="0" shapeId="0" xr:uid="{00000000-0006-0000-0100-000002000000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E638" authorId="0" shapeId="0" xr:uid="{3FCF7573-774E-4CC7-87A0-B551A42F5ED4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F638" authorId="0" shapeId="0" xr:uid="{00000000-0006-0000-0100-000003000000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<sst xmlns="http://schemas.openxmlformats.org/spreadsheetml/2006/main" count="1378" uniqueCount="536">
  <si>
    <t>PEMERINTAH PROVINSI KALIMANTAN TIMUR</t>
  </si>
  <si>
    <t>LAPORAN REALISASI ANGGARAN PER BIDANG</t>
  </si>
  <si>
    <t>KODE REKENING</t>
  </si>
  <si>
    <t>URAIAN</t>
  </si>
  <si>
    <t>REALISASI</t>
  </si>
  <si>
    <t>%</t>
  </si>
  <si>
    <t>SISA PAGU</t>
  </si>
  <si>
    <t>MURNI</t>
  </si>
  <si>
    <t>FCPF</t>
  </si>
  <si>
    <t>TOTAL</t>
  </si>
  <si>
    <t>3-27.0-00.0-00.01</t>
  </si>
  <si>
    <t>DINAS PERKEBUNAN</t>
  </si>
  <si>
    <t>5.1.01</t>
  </si>
  <si>
    <t>Belanja Pegawai</t>
  </si>
  <si>
    <t>5.1</t>
  </si>
  <si>
    <t>Belanja Operasi Dinas dan UPTD</t>
  </si>
  <si>
    <t>SEKRETARIAT</t>
  </si>
  <si>
    <t>SUB BAGIAN UMUM DAN KEPEGAWAIAN</t>
  </si>
  <si>
    <t>SUB BAGIAN PERENCANAAN PROGRAM</t>
  </si>
  <si>
    <t>BIDANG PENGEMBANGAN KOMODITI</t>
  </si>
  <si>
    <t>BIDANG PERKEBUNAN BERKELANJUTAN</t>
  </si>
  <si>
    <t>BIDANG USAHA</t>
  </si>
  <si>
    <t>BIDANG PENGOLAHAN DAN PEMASARAN</t>
  </si>
  <si>
    <t>UPTD PBP (PENGAWASAN BENIH PERKEBUNAN)</t>
  </si>
  <si>
    <t>UPTD P2TP (PENGEMBANGAN PERLINDUNGAN TANAMAN PERKEBUNAN)</t>
  </si>
  <si>
    <t>UPTD PBTP (PRODUSEN BENIH TANAMAN PERKEBUNAN)</t>
  </si>
  <si>
    <t>Urusan Pemerintahan</t>
  </si>
  <si>
    <t>: Urusan Pilihan</t>
  </si>
  <si>
    <t>Bidang Pemerintahan</t>
  </si>
  <si>
    <t>: Pertanian</t>
  </si>
  <si>
    <t>Unit Organisasi</t>
  </si>
  <si>
    <t>: Dinas Perkebunan</t>
  </si>
  <si>
    <t>BULAN LALU</t>
  </si>
  <si>
    <t>BULAN INI</t>
  </si>
  <si>
    <t>JUMLAH</t>
  </si>
  <si>
    <t>Program (3.27.01)</t>
  </si>
  <si>
    <t>PROGRAM PENUNJANG URUSAN PEMERINTAHAN DAERAH PROVINSI</t>
  </si>
  <si>
    <t>Kegiatan (3.27.01.1.02)</t>
  </si>
  <si>
    <t>Administrasi Keuangan Perangkat Daerah</t>
  </si>
  <si>
    <t xml:space="preserve">3.27.01.1.02.01 </t>
  </si>
  <si>
    <t>Penyediaan Gaji dan Tunjangan ASN</t>
  </si>
  <si>
    <t>5.1.01.01.01.0001</t>
  </si>
  <si>
    <t>Belanja Gaji Pokok PNS</t>
  </si>
  <si>
    <t>5.1.01.01.01.0002</t>
  </si>
  <si>
    <t>Belanja Gaji Pokok PPPK</t>
  </si>
  <si>
    <t>5.1.01.01.02.0001</t>
  </si>
  <si>
    <t>Belanja Tunjangan Keluarga PNS</t>
  </si>
  <si>
    <t>5.1.01.01.02.0002</t>
  </si>
  <si>
    <t>Belanja Tunjangan Keluarga PPPK</t>
  </si>
  <si>
    <t>5.1.01.01.03.0001</t>
  </si>
  <si>
    <t>Belanja Tunjangan Jabatan PNS</t>
  </si>
  <si>
    <t>5.1.01.01.04.0001</t>
  </si>
  <si>
    <t>Belanja Tunjangan Fungsional PNS</t>
  </si>
  <si>
    <t>5.1.01.01.04.0002</t>
  </si>
  <si>
    <t>Belanja Tunjangan Fungsional PPPK</t>
  </si>
  <si>
    <t>5.1.01.01.05.0001</t>
  </si>
  <si>
    <t>Belanja Tunjangan Fungsional Umum PNS</t>
  </si>
  <si>
    <t>5.1.01.01.06.0001</t>
  </si>
  <si>
    <t>Belanja Tunjangan Beras PNS</t>
  </si>
  <si>
    <t>Belanja Tunjangan Beras PPPK</t>
  </si>
  <si>
    <t>5.1.01.01.07.0001</t>
  </si>
  <si>
    <t>Belanja Tunjangan PPh/Tunjangan Khusus PNS</t>
  </si>
  <si>
    <t>5.1.01.01.08.0001</t>
  </si>
  <si>
    <t>Belanja Pembulatan Gaji PNS</t>
  </si>
  <si>
    <t>5.1.01.01.08.0002</t>
  </si>
  <si>
    <t>Belanja Pembulatan Gaji PPPK</t>
  </si>
  <si>
    <t>5.1.01.01.09.0001</t>
  </si>
  <si>
    <t>Belanja Iuran Jaminan Kesehatan PNS</t>
  </si>
  <si>
    <t>5.1.01.01.09.0002</t>
  </si>
  <si>
    <t>Belanja Iuran Jaminan Kesehatan PPPK</t>
  </si>
  <si>
    <t>5.1.01.01.10.0001</t>
  </si>
  <si>
    <t>Belanja Iuran Jaminan Kecelakaan Kerja PNS</t>
  </si>
  <si>
    <t>5.1.01.01.10.0002</t>
  </si>
  <si>
    <t>Belanja Iuran Jaminan Kecelakaan Kerja PPPK</t>
  </si>
  <si>
    <t>5.1.01.01.11.0001</t>
  </si>
  <si>
    <t>Belanja Iuran Jaminan Kematian PNS</t>
  </si>
  <si>
    <t>5.1.01.01.11.0002</t>
  </si>
  <si>
    <t>Belanja Iuran Jaminan Kematian PPPK</t>
  </si>
  <si>
    <t>5.1.01.02.01.0001</t>
  </si>
  <si>
    <t>Tambahan Penghasilan berdasarkan Beban Kerja PNS</t>
  </si>
  <si>
    <t>5.1.01.02.01.0002</t>
  </si>
  <si>
    <t>Tambahan Penghasilan berdasarkan Beban Kerja PPPK</t>
  </si>
  <si>
    <t>5.1.01.02.05.0001</t>
  </si>
  <si>
    <t>Tambahan Penghasilan berdasarkan Prestasi Kerja PNS</t>
  </si>
  <si>
    <t>5.1.01.02.05.0002</t>
  </si>
  <si>
    <t>Tambahan Penghasilan berdasarkan Prestasi Kerja PPPK</t>
  </si>
  <si>
    <t>3.27.01.1.02.02</t>
  </si>
  <si>
    <t>Penyediaan Administrasi Pelaksanaan Tugas ASN</t>
  </si>
  <si>
    <t>5.1.01.03.07.0001</t>
  </si>
  <si>
    <t>Belanja Honorarium Penanggungjawaban Pengelola Keuangan</t>
  </si>
  <si>
    <t>5.1.02</t>
  </si>
  <si>
    <t>Belanja Operasi Dinas</t>
  </si>
  <si>
    <t>Kegiatan (3.27.01.1.05)</t>
  </si>
  <si>
    <t>Administrasi Kepegawaian Perangkat Daerah</t>
  </si>
  <si>
    <t>3.27.01.1.05.02</t>
  </si>
  <si>
    <t>Pengadaan Pakaian Dinas Beserta Atribut Kelengkapannya</t>
  </si>
  <si>
    <t>3.27.01.1.05.09</t>
  </si>
  <si>
    <t>Pendidikan dan Pelatihan Pegawai Berdasarkan Tugas dan Fungsi</t>
  </si>
  <si>
    <t>5.1.02.02.12.0003</t>
  </si>
  <si>
    <t xml:space="preserve">Belanja Bimbingan Teknis </t>
  </si>
  <si>
    <t>5.1.02.04.01.0001</t>
  </si>
  <si>
    <t>Belanja Perjalanan Dinas Biasa</t>
  </si>
  <si>
    <t>Kegiatan (3.27.01.1.06)</t>
  </si>
  <si>
    <t>Administrasi Umum Perangkat Daerah</t>
  </si>
  <si>
    <t>3.27.01.1.06.01</t>
  </si>
  <si>
    <t>Penyediaan Komponen Instalasi Listrik/Penerangan Bangunan Kantor</t>
  </si>
  <si>
    <t>5.1.02.01.01.0031</t>
  </si>
  <si>
    <t>Belanja Alat/Bahan untuk Kegiatan Kantor- Alat Listrik</t>
  </si>
  <si>
    <t>3.27.01.1.06.02</t>
  </si>
  <si>
    <t>Penyediaan Peralatan dan Perlengkapan Kantor</t>
  </si>
  <si>
    <t xml:space="preserve">5.1.02.01.01.0024 </t>
  </si>
  <si>
    <t>Belanja Alat/Bahan untuk Kegiatan Kantor-Alat Tulis Kantor</t>
  </si>
  <si>
    <t xml:space="preserve">5.1.02.01.01.0026 </t>
  </si>
  <si>
    <t>Belanja Alat/Bahan untuk Kegiatan Kantor- Bahan Cetak</t>
  </si>
  <si>
    <t xml:space="preserve">5.1.02.01.01.0029 </t>
  </si>
  <si>
    <t>Belanja Alat/Bahan untuk Kegiatan Kantor-Bahan Komputer</t>
  </si>
  <si>
    <t>Belanja Alat/Bahan untuk Kegiatan Kantor-Perabot Kantor</t>
  </si>
  <si>
    <t>Belanja Alat/Bahan untuk Kegiatan Kantor- Suvenir/Cendera Mata</t>
  </si>
  <si>
    <t xml:space="preserve">5.1.02.01.01.0036 </t>
  </si>
  <si>
    <t>Belanja Alat/Bahan untuk Kegiatan Kantor-Alat/Bahan untuk Kegiatan Kantor Lainnya</t>
  </si>
  <si>
    <t>Belanja Sewa Alat Kantor Lainnya</t>
  </si>
  <si>
    <t>3.27.01.1.06.04</t>
  </si>
  <si>
    <t>Penyediaan Bahan Logistik Kantor</t>
  </si>
  <si>
    <t>5.1.02.01.01.0024</t>
  </si>
  <si>
    <t>5.1.02.01.01.0052</t>
  </si>
  <si>
    <t>Belanja Makanan dan Minuman Rapat</t>
  </si>
  <si>
    <t>3.27.01.1.06.05</t>
  </si>
  <si>
    <t>Penyediaan Barang Cetakan dan Penggandaan</t>
  </si>
  <si>
    <t>5.1.02.01.01.0026</t>
  </si>
  <si>
    <t>3.27.01.1.06.06</t>
  </si>
  <si>
    <t>Penyediaan Bahan Bacaan dan Peraturan Perundang-Undangan</t>
  </si>
  <si>
    <t>5.1.02.02.01.0055</t>
  </si>
  <si>
    <t>Belanja Jasa Iklan/Reklame, Film, dan Pemotretan</t>
  </si>
  <si>
    <t>5.1.02.02.01.0062</t>
  </si>
  <si>
    <t>Belanja Langganan Jurnal/Surat Kabar/Majalah</t>
  </si>
  <si>
    <t>3.27.01.1.06.09</t>
  </si>
  <si>
    <t>Penyelenggaraan Rapat Koordinasi dan Konsultasi SKPD</t>
  </si>
  <si>
    <t>5.1.02.02.01.0003</t>
  </si>
  <si>
    <t>Honorarium Narasumber atau Pembahas, Moderator, Pembawa Acara, dan Panitia</t>
  </si>
  <si>
    <t>5.1.02.02.01.0004</t>
  </si>
  <si>
    <t>Honorarium Tim Pelaksana Kegiatan dan Sekretariat Tim Pelaksana Kegiatan</t>
  </si>
  <si>
    <t>Kegiatan (3.27.01.1.07)</t>
  </si>
  <si>
    <t>Pengadaan Barang Milik Daerah Penunjang Urusan Pemerintah Daerah</t>
  </si>
  <si>
    <t>3.27.01.1.07.02</t>
  </si>
  <si>
    <t>Pengadaan Kendaraan Dinas Operasional atau Lapangan</t>
  </si>
  <si>
    <t>5.2.02.02.01.0001</t>
  </si>
  <si>
    <t>Belanja Modal Kendaraan Dinas Bermotor Perorangan</t>
  </si>
  <si>
    <t>3.27.01.1.07.10</t>
  </si>
  <si>
    <t>Pengadaan Sarana dan Prasarana Gedung Kantor atau Bangunan Lainnya</t>
  </si>
  <si>
    <t>5.2.02.05.01.0004</t>
  </si>
  <si>
    <t>Belanja Modal Alat Penyimpan Perlengkapan Kantor</t>
  </si>
  <si>
    <t>5.2.02.05.01.0005</t>
  </si>
  <si>
    <t>Belanja Modal Alat Kantor Lainnya</t>
  </si>
  <si>
    <t>5.2.02.05.02.0001</t>
  </si>
  <si>
    <t>Belanja Modal Mebel</t>
  </si>
  <si>
    <t>5.2.02.05.02.0006</t>
  </si>
  <si>
    <t>Belanja Modal Alat Rumah Tangga Lainnya (Home Use)</t>
  </si>
  <si>
    <t>5.2.02.06.01.0001</t>
  </si>
  <si>
    <t>Belanja Modal Peralatan Studio Audio</t>
  </si>
  <si>
    <t>5.2.02.06.01.0002</t>
  </si>
  <si>
    <t>Belanja Modal Peralatan Studio Video dan Film</t>
  </si>
  <si>
    <t>5.2.02.06.02.0001</t>
  </si>
  <si>
    <t>Belanja Modal Alat Komunikasi Telephone</t>
  </si>
  <si>
    <t>5.2.02.10.01.0002</t>
  </si>
  <si>
    <t>Belanja Modal Personal Computer</t>
  </si>
  <si>
    <t>5.2.02.10.02.0003</t>
  </si>
  <si>
    <t>Belanja Modal Peralatan Personal Computer</t>
  </si>
  <si>
    <t>5.2.02.10.02.0005</t>
  </si>
  <si>
    <t>Belanja Modal Peralatan Komputer Lainnya</t>
  </si>
  <si>
    <t>Kegiatan (3.27.01.1.08)</t>
  </si>
  <si>
    <t>Penyediaan Jasa Penunjang Urusan Pemerintahan Daerah</t>
  </si>
  <si>
    <t>3.27.01.1.08.01</t>
  </si>
  <si>
    <t>Penyediaan Jasa Surat Menyurat</t>
  </si>
  <si>
    <t>5.1.02.01.01.0027</t>
  </si>
  <si>
    <t>Belanja Alat/Bahan untuk Kegiatan Kantor-Benda Pos</t>
  </si>
  <si>
    <t>3.27.01.1.08.02</t>
  </si>
  <si>
    <t>Penyediaan Jasa Komunikasi, Sumber Daya Air dan Listrik</t>
  </si>
  <si>
    <t>5.1.02.02.01.0059</t>
  </si>
  <si>
    <t>Belanja Tagihan Telepon</t>
  </si>
  <si>
    <t>5.1.02.02.01.0060</t>
  </si>
  <si>
    <t>Belanja Tagihan Air</t>
  </si>
  <si>
    <t>5.1.02.02.01.0061</t>
  </si>
  <si>
    <t>Belanja Tagihan Listrik</t>
  </si>
  <si>
    <t>5.1.02.02.01.0063</t>
  </si>
  <si>
    <t>Belanja Kawat/Faksimili/Internet/TV Berlangganan</t>
  </si>
  <si>
    <t>3.27.01.1.08.03</t>
  </si>
  <si>
    <t>Penyediaan Jasa Peralatan dan Perlengkapan Kantor</t>
  </si>
  <si>
    <t>5.1.02.02.01.0029</t>
  </si>
  <si>
    <t>Belanja Jasa Tenaga Ahli</t>
  </si>
  <si>
    <t>5.1.02.02.01.0030</t>
  </si>
  <si>
    <t>Belanja Jasa Tenaga Kebersihan</t>
  </si>
  <si>
    <t>3.27.01.1.08.04</t>
  </si>
  <si>
    <t>Penyediaan Jasa Pelayanan Umum Kantor</t>
  </si>
  <si>
    <t>5.1.02.02.01.0026</t>
  </si>
  <si>
    <t>Belanja Jasa Tenaga Administrasi</t>
  </si>
  <si>
    <t>5.1.02.02.02.0005</t>
  </si>
  <si>
    <t>Belanja Iuran Jaminan Kesehatan bagi Non ASN</t>
  </si>
  <si>
    <t>5.1.02.02.02.0006</t>
  </si>
  <si>
    <t>Belanja Iuran Jaminan Kecelakaan Kerja bagi Non ASN</t>
  </si>
  <si>
    <t>Kegiatan (3.27.01.1.09)</t>
  </si>
  <si>
    <t>Pemeliharaan Barang Milik Daerah Penunjang Urusan Pemerintahan Daerah</t>
  </si>
  <si>
    <t>3.27.01.1.09.02</t>
  </si>
  <si>
    <t>Penyediaan Jasa Pemeliharaan, Biaya Pemeliharaan, Pajak dan Perizinan Kendaraan Dinas Operasional atau Lapangan</t>
  </si>
  <si>
    <t>5.1.02.01.01.0004</t>
  </si>
  <si>
    <t>Belanja Bahan-Bahan Bakar dan Pelumas</t>
  </si>
  <si>
    <t>5.1.02.02.01.0067</t>
  </si>
  <si>
    <t>Belanja Pembayaran Pajak, Bea, dan Perizinan</t>
  </si>
  <si>
    <t>3.27.01.1.09.09</t>
  </si>
  <si>
    <t>Pemeliharaan/Rehabilitasi Gedung Kantor dan Bangunan Lainnya</t>
  </si>
  <si>
    <t>5.1.02.03.03.0001</t>
  </si>
  <si>
    <t>Belanja Pemeliharaan Bangunan Gedung-Bangunan Gedung Tempat Kerja-Bangunan Gedung Kantor</t>
  </si>
  <si>
    <t>5.2.03.01.01.0001</t>
  </si>
  <si>
    <t>Belanja Modal Bangunan Gedung Kantor</t>
  </si>
  <si>
    <t>3.27.01.1.09.10</t>
  </si>
  <si>
    <t>Pemeliharaan/Rehabilitasi Sarana dan Prasarana Gedung Kantor atau Bangunan Lainnya</t>
  </si>
  <si>
    <t>5.1.02.03.02.0117</t>
  </si>
  <si>
    <t>Belanja Pemeliharaan Alat Kantor dan Rumah Tangga-Alat Kantor-Alat Kantor Lainnya</t>
  </si>
  <si>
    <t>5.1.02.03.02.0123</t>
  </si>
  <si>
    <t>Belanja Pemeliharaan Alat Kantor dan Rumah Tangga-Alat Rumah Tangga-Alat Rumah Tangga Lainnya (Home Use)</t>
  </si>
  <si>
    <t>5.1.02.03.02.0405</t>
  </si>
  <si>
    <t>Belanja Pemeliharaan Komputer-Komputer Unit-Personal Computer</t>
  </si>
  <si>
    <t>5.1.02.03.02.0409</t>
  </si>
  <si>
    <t>Belanja Pemeliharaan Komputer-Peralatan Komputer-Peralatan Personal Computer</t>
  </si>
  <si>
    <t>Kegiatan (3.27.01.1.01)</t>
  </si>
  <si>
    <t>Perencanaan, Penganggaran, dan Evaluasi Kinerja Perangkat Daerah</t>
  </si>
  <si>
    <t>3.27.01.1.01.01</t>
  </si>
  <si>
    <t>Penyusunan Dokumen Perencanaan Perangkat Daerah</t>
  </si>
  <si>
    <t>5.1.02.01.01.0029</t>
  </si>
  <si>
    <t>5.1.02.01.01.0035</t>
  </si>
  <si>
    <t>3.27.01.1.01.07</t>
  </si>
  <si>
    <t>Evaluasi Kinerja Perangkat Daerah</t>
  </si>
  <si>
    <t>5.1.02.01.01.0036</t>
  </si>
  <si>
    <t>Program (3.27.02)</t>
  </si>
  <si>
    <t>PROGRAM PENYEDIAAN DAN PENGEMBANGAN SARANA PERTANIAN</t>
  </si>
  <si>
    <t>Kegiatan (3.27.02.1.01)</t>
  </si>
  <si>
    <t>Pengawasan Peredaran Sarana Pertanian</t>
  </si>
  <si>
    <t>3.27.02.1.01.01</t>
  </si>
  <si>
    <t>Pengawasan Sebaran Pupuk, Pestisida, Alsintan, dan Sarana Pendukung Pertanian</t>
  </si>
  <si>
    <t>5.1.02.01.01.0039</t>
  </si>
  <si>
    <t>Belanja Barang untuk Dijual/Diserahkan kepada Masyarakat</t>
  </si>
  <si>
    <t>Program (3.27.03)</t>
  </si>
  <si>
    <t>PROGRAM PENYEDIAAN DAN PENGEMBANGAN PRASARANA PERTANIAN</t>
  </si>
  <si>
    <t>Kegiatan (3.27.03.1.01)</t>
  </si>
  <si>
    <t>Penataan Prasarana Pertanian</t>
  </si>
  <si>
    <t>3.27.03.1.01.01</t>
  </si>
  <si>
    <t>Perencanaan Pengembangan Prasarana, Kawasan dan Komoditas Pertanian</t>
  </si>
  <si>
    <t>Program (3.27.07)</t>
  </si>
  <si>
    <t>PROGRAM PENYULUHAN PERTANIAN</t>
  </si>
  <si>
    <t>Kegiatan (3.27.07.1.01)</t>
  </si>
  <si>
    <t>Pengembangan Ketenagaan Penyuluhan Pertanian</t>
  </si>
  <si>
    <t>5.1.02.02.01.0011</t>
  </si>
  <si>
    <t>Honorarium Penyelenggaraan Kegiatan Pendidikan dan Pelatihan</t>
  </si>
  <si>
    <t>5.1.02.04.01.0004</t>
  </si>
  <si>
    <t>Belanja Perjalanan Dinas Paket Meeting Dalam Kota</t>
  </si>
  <si>
    <t>5.1.02.04.01.0005</t>
  </si>
  <si>
    <t>Belanja Perjalanan Dinas Paket Meeting Luar Kota</t>
  </si>
  <si>
    <t>Kegiatan (3.27.07.1.02)</t>
  </si>
  <si>
    <t>Pengembangan Penerapan Penyuluhan Pertanian</t>
  </si>
  <si>
    <t>3.27.07.1.02.02</t>
  </si>
  <si>
    <t>Pelaksanaan Penyuluhan dan Pemberdayaan Petani</t>
  </si>
  <si>
    <t>Kegiatan (3.27.07.1.03)</t>
  </si>
  <si>
    <t>Pengembangan Kapasitas Kelembagaan Ekonomi Petani Berbasis Kawasann</t>
  </si>
  <si>
    <t>Program (3.27.05)</t>
  </si>
  <si>
    <t>PROGRAM PENGENDALIAN DAN PENANGGULANGAN BENCANA PERTANIAN</t>
  </si>
  <si>
    <t>Kegiatan (3.27.05.1.01)</t>
  </si>
  <si>
    <t>Pengendalian dan Penanggulangan Bencana Pertanian Provinsi</t>
  </si>
  <si>
    <t>3.27.05.1.01.02</t>
  </si>
  <si>
    <t>Penanganan Dampak Perubahan Iklim (DPI) Tanaman Pangan, Hortikultura, dan Perkebunan</t>
  </si>
  <si>
    <t>5.1.02.04.02.0001</t>
  </si>
  <si>
    <t>5.2.02.06.01.0005</t>
  </si>
  <si>
    <t>3.27.05.1.01.03</t>
  </si>
  <si>
    <t>Pencegahan, Penanganan Kebakaran Lahan, dan Gangguan Usaha Tanaman Pangan, Hortikultur, dan Perkebunan</t>
  </si>
  <si>
    <t xml:space="preserve">5.1.02.01.01.0004 </t>
  </si>
  <si>
    <t>Belanja Alat/Bahan untuk Kegiatan Kantor- Alat Tulis Kantor</t>
  </si>
  <si>
    <t xml:space="preserve">5.1.02.01.01.0039 </t>
  </si>
  <si>
    <t xml:space="preserve">5.1.02.01.01.0052 </t>
  </si>
  <si>
    <t xml:space="preserve">5.1.02.02.01.0003 </t>
  </si>
  <si>
    <t xml:space="preserve">5.1.02.02.01.0004 </t>
  </si>
  <si>
    <t xml:space="preserve">5.1.02.04.01.0001 </t>
  </si>
  <si>
    <t xml:space="preserve">5.2.02.05.01.0005 </t>
  </si>
  <si>
    <t>Belanja Modal Peralatan Studio Pemetaan/Peralatan Ukur Tanah</t>
  </si>
  <si>
    <t>Program</t>
  </si>
  <si>
    <t>Kegiatan</t>
  </si>
  <si>
    <t>Belanja Alat/Bahan untuk Kegiatan Kantor- Bahan Komputer</t>
  </si>
  <si>
    <t>Program (3.27.06)</t>
  </si>
  <si>
    <t>PROGRAM PERIZINAN USAHA PERTANIAN</t>
  </si>
  <si>
    <t>Kegiatan (3.27.06.1.01)</t>
  </si>
  <si>
    <t>Penerbitan Izin Usaha Pertanian yang Kegiatan Usahanya dalam Daerah Kabupaten/Kota</t>
  </si>
  <si>
    <t>Pembinaan dan Pengawasan Penerapan Izin Usaha Pertanian</t>
  </si>
  <si>
    <t>3.27.07.1.02.01</t>
  </si>
  <si>
    <t>Diseminasi Informasi Teknis, Sosial, Ekonomi dan Inovasi Pertanian</t>
  </si>
  <si>
    <t>5.1.02.01.01.0002</t>
  </si>
  <si>
    <t>Belanja Bahan-Bahan Kimia</t>
  </si>
  <si>
    <t>5.1.02.01.01.0010</t>
  </si>
  <si>
    <t>Belanja Bahan-Isi Tabung Gas</t>
  </si>
  <si>
    <t>5.1.02.01.01.0030</t>
  </si>
  <si>
    <t>5.1.02.01.01.0043</t>
  </si>
  <si>
    <t>Belanja Natura dan Pakan-Natura</t>
  </si>
  <si>
    <t>5.1.02.02.01.0008</t>
  </si>
  <si>
    <t>Honorarium Tim Penyusunan Jurnal, Buletin, Majalah, Pengelola Teknologi Informasi dan Pengelola Website</t>
  </si>
  <si>
    <t>5.1.02.02.01.0016</t>
  </si>
  <si>
    <t>Belanja Jasa Tenaga Penanganan Prasarana dan Sarana Umum</t>
  </si>
  <si>
    <t>5.1.02.02.04.0117</t>
  </si>
  <si>
    <t>Pengembangan Kapasitas Kelembagaan Ekonomi Petani Berbasis Kawasan</t>
  </si>
  <si>
    <t>5.1.02.02.01.0015</t>
  </si>
  <si>
    <t>Belanja Jasa Tenaga Laboratorium</t>
  </si>
  <si>
    <t>5.1.02.02.12.0001</t>
  </si>
  <si>
    <t>Belanja Kursus Singkat/Pelatihan</t>
  </si>
  <si>
    <t>Belanja Alat/Bahan untuk Kegiatan Kantor-Alat Listrik</t>
  </si>
  <si>
    <t>Kegiatan (3.27.02.1.02)</t>
  </si>
  <si>
    <t>Pengawasan Mutu, Penyediaan dan Peredaran Benih Tanaman</t>
  </si>
  <si>
    <t>3.27.02.1.02.01</t>
  </si>
  <si>
    <t>Pengelolaan Penerbitan Sertifikat Benih</t>
  </si>
  <si>
    <t>5.1.02.01.01.0016</t>
  </si>
  <si>
    <t>Belanja Suku Cadang-Suku Cadang Alat Laboratorium</t>
  </si>
  <si>
    <t>Belanja Bimbingan Teknis</t>
  </si>
  <si>
    <t>3.03.01.06.009</t>
  </si>
  <si>
    <t>Belanja Modal Alat Pendingin</t>
  </si>
  <si>
    <t>3.27.05.1.01.01</t>
  </si>
  <si>
    <t>Pengendalian Organisme Pengganggu Tumbuhan (OPT) Tanaman Pangan, Hortikultura, dan Perkebunan</t>
  </si>
  <si>
    <t>5.1.02.01.01.0008</t>
  </si>
  <si>
    <t>Belanja Bahan-Bahan/Bibit Tanaman</t>
  </si>
  <si>
    <t>5.1.02.01.01.0044</t>
  </si>
  <si>
    <t>Belanja Natura dan Pakan-Pakan</t>
  </si>
  <si>
    <t>5.1.02.03.02.0036</t>
  </si>
  <si>
    <t>Belanja Pemeliharaan Alat Angkutan-Alat Angkutan Darat Bermotor-Kendaraan Bermotor Penumpang</t>
  </si>
  <si>
    <t xml:space="preserve"> 5.1.02.01.01.0025</t>
  </si>
  <si>
    <t>belanja Alat/Bahan untuk Kegiatan Kantor Kertas dan Cover</t>
  </si>
  <si>
    <t>5.1.02.01.01.0005</t>
  </si>
  <si>
    <t>Belanja Bahan-Bahan Baku</t>
  </si>
  <si>
    <t>5.1.02.01.01.0032</t>
  </si>
  <si>
    <t>Belanja Alat/Bahan untuk Kegiatan Kantor-Perlengkapan Dinas</t>
  </si>
  <si>
    <t>5.1.02.01.02.0003</t>
  </si>
  <si>
    <t>Belanja Komponen-Komponen Peralatan</t>
  </si>
  <si>
    <t>DBH</t>
  </si>
  <si>
    <t>ANGGARAN</t>
  </si>
  <si>
    <t>5.1.02.01.01.0075</t>
  </si>
  <si>
    <t>Belanja Pakaian Batik Tradisional</t>
  </si>
  <si>
    <t>5.1.02.01.01.0025</t>
  </si>
  <si>
    <t>Belanja Alat/Bahan untuk Kegiatan Kantor- Kertas dan Cover</t>
  </si>
  <si>
    <t>3.27.01.1.07.09</t>
  </si>
  <si>
    <t>Pengadaan Gedung Kantor atau Bangunan Lainnya</t>
  </si>
  <si>
    <t xml:space="preserve">5.2.02.05.02.0004 </t>
  </si>
  <si>
    <t>5.1.02.02.04.0035</t>
  </si>
  <si>
    <t>Belanja Sewa Kendaraan Dinas Bermotor Perorangan</t>
  </si>
  <si>
    <t xml:space="preserve">Belanja Sewa Alat Kantor Lainnya </t>
  </si>
  <si>
    <t>Belanja Jasa Tenaga Keamanan</t>
  </si>
  <si>
    <t>5.1.02.02.01.0031</t>
  </si>
  <si>
    <t>5.1.02.02.01.0073</t>
  </si>
  <si>
    <t>Belanja Medical Check Up</t>
  </si>
  <si>
    <t xml:space="preserve">Belanja Iuran Jaminan Kematian bagi Non ASN </t>
  </si>
  <si>
    <t>5.1.02.02.02.0007</t>
  </si>
  <si>
    <t>5.1.02.02.02.0010</t>
  </si>
  <si>
    <t>Belanja Iuran Jaminan Hari Tua bagi Non ASN</t>
  </si>
  <si>
    <t>Belanja Iuran Jaminan Pensiun bagi Non ASN</t>
  </si>
  <si>
    <t xml:space="preserve">5.1.02.02.02.0011 </t>
  </si>
  <si>
    <t>Belanja Modal Aset Tidak Berwujud-Software</t>
  </si>
  <si>
    <t>5.2.06.01.01.0005</t>
  </si>
  <si>
    <t>3.27.03.1.01.03</t>
  </si>
  <si>
    <t>5.1.02.02.04.0036</t>
  </si>
  <si>
    <t>Belanja Sewa Kendaraan Bermotor Penumpang</t>
  </si>
  <si>
    <t>Belanja Sosialisasi</t>
  </si>
  <si>
    <t>5.1.02.02.12.0002</t>
  </si>
  <si>
    <t xml:space="preserve">Belanja Perjalanan Dinas Paket Luar Negeri </t>
  </si>
  <si>
    <t xml:space="preserve">Belanja Alat/Bahan untuk Kegiatan Kantor-Bahan Komputer </t>
  </si>
  <si>
    <t xml:space="preserve">5.1.02.01.01.0030 </t>
  </si>
  <si>
    <t xml:space="preserve">5.1.02.02.01.0029 </t>
  </si>
  <si>
    <t xml:space="preserve">Belanja Jasa Tenaga Ahli </t>
  </si>
  <si>
    <t xml:space="preserve">5.1.02.02.01.0047 </t>
  </si>
  <si>
    <t xml:space="preserve">Belanja Jasa Penyelenggaraan Acara </t>
  </si>
  <si>
    <t xml:space="preserve">5.2.02.05.02.0007 </t>
  </si>
  <si>
    <t>Belanja Modal Alat Pemadam Kebakaran</t>
  </si>
  <si>
    <t>3.27.06.1.01.05</t>
  </si>
  <si>
    <t xml:space="preserve">5.1.02.01.01.0025 </t>
  </si>
  <si>
    <t xml:space="preserve">Belanja Alat/Bahan untuk Kegiatan Kantor- Kertas dan Cover </t>
  </si>
  <si>
    <t xml:space="preserve">Belanja Alat/Bahan untuk Kegiatan Kantor-Alat/Bahan untuk Kegiatan Kantor Lainnya </t>
  </si>
  <si>
    <t>Penyediaan dan Peningkatan Kapasitas Penyuluh pertanian</t>
  </si>
  <si>
    <t>3.27.07.1.01.04</t>
  </si>
  <si>
    <t xml:space="preserve">5.2.02.05.02.0001 </t>
  </si>
  <si>
    <t xml:space="preserve">5.2.02.10.02.0003 </t>
  </si>
  <si>
    <t xml:space="preserve">Belanja Modal Peralatan Personal Computer </t>
  </si>
  <si>
    <t xml:space="preserve">5.2.03.01.01.0001 </t>
  </si>
  <si>
    <t xml:space="preserve">5.1.02.02.12.0002 </t>
  </si>
  <si>
    <t>3.27.07.1.03.05</t>
  </si>
  <si>
    <t>Pendampingan dan pengawalan korporasi petani</t>
  </si>
  <si>
    <t xml:space="preserve">5.1.02.01.01.0001 </t>
  </si>
  <si>
    <t xml:space="preserve">Belanja Bahan-Bahan Bangunan dan Konstruksi </t>
  </si>
  <si>
    <t xml:space="preserve">5.1.02.01.01.0002 </t>
  </si>
  <si>
    <t xml:space="preserve">Belanja Bahan-Bahan Kimia </t>
  </si>
  <si>
    <t xml:space="preserve">5.1.02.01.01.0019 </t>
  </si>
  <si>
    <t xml:space="preserve">Belanja Suku Cadang-Suku Cadang Alat Pertanian </t>
  </si>
  <si>
    <t xml:space="preserve">Belanja Alat/Bahan untuk Kegiatan Kantor-Alat Tulis Kantor </t>
  </si>
  <si>
    <t xml:space="preserve">Belanja Alat/Bahan untuk Kegiatan Kantor-Perabot Kantor </t>
  </si>
  <si>
    <t xml:space="preserve">5.1.02.01.01.0032 </t>
  </si>
  <si>
    <t xml:space="preserve">Belanja Alat/Bahan untuk Kegiatan Kantor-Perlengkapan Dinas </t>
  </si>
  <si>
    <t xml:space="preserve">Belanja Barang untuk Dijual/Diserahkan kepada Masyarakat </t>
  </si>
  <si>
    <t xml:space="preserve">5.1.02.01.01.0040 </t>
  </si>
  <si>
    <t xml:space="preserve">Belanja Barang untuk Dijual/Diserahkan kepada Pihak Ketiga/Pihak Lain </t>
  </si>
  <si>
    <t xml:space="preserve">5.1.02.01.01.0043 </t>
  </si>
  <si>
    <t xml:space="preserve">Belanja Natura dan Pakan-Natura </t>
  </si>
  <si>
    <t xml:space="preserve">5.1.02.02.01.0015 </t>
  </si>
  <si>
    <t xml:space="preserve">Belanja Jasa Tenaga Laboratorium </t>
  </si>
  <si>
    <t xml:space="preserve">5.1.02.02.01.0016 </t>
  </si>
  <si>
    <t xml:space="preserve">5.1.02.02.01.0064 </t>
  </si>
  <si>
    <t xml:space="preserve">Belanja Paket/Pengiriman </t>
  </si>
  <si>
    <t xml:space="preserve">5.1.02.02.04.0117 </t>
  </si>
  <si>
    <t xml:space="preserve">5.1.02.02.05.0009 </t>
  </si>
  <si>
    <t xml:space="preserve">Belanja Sewa Bangunan Gedung Tempat Pertemuan </t>
  </si>
  <si>
    <t xml:space="preserve">5.1.02.03.03.0001 </t>
  </si>
  <si>
    <t xml:space="preserve">5.2.02.02.01.0004 </t>
  </si>
  <si>
    <t>Belanja Modal Kendaraan Bermotor Beroda Dua</t>
  </si>
  <si>
    <t xml:space="preserve">5.2.02.03.01.0006 </t>
  </si>
  <si>
    <t xml:space="preserve">Belanja Modal Perkakas Bengkel Kayu </t>
  </si>
  <si>
    <t xml:space="preserve">5.2.02.05.01.0004 </t>
  </si>
  <si>
    <t xml:space="preserve">Belanja Modal Alat Penyimpan Perlengkapan Kantor </t>
  </si>
  <si>
    <t xml:space="preserve">Belanja Modal Alat Kantor Lainnya </t>
  </si>
  <si>
    <t xml:space="preserve">Belanja Modal Mebel </t>
  </si>
  <si>
    <t xml:space="preserve">5.2.02.05.02.0005 </t>
  </si>
  <si>
    <t xml:space="preserve">Belanja Modal Alat Dapur </t>
  </si>
  <si>
    <t xml:space="preserve">5.2.02.05.02.0006 </t>
  </si>
  <si>
    <t xml:space="preserve">Belanja Modal Alat Rumah Tangga Lainnya (Home Use) </t>
  </si>
  <si>
    <t xml:space="preserve">5.2.02.10.01.0002 </t>
  </si>
  <si>
    <t xml:space="preserve">Belanja Modal Personal Computer </t>
  </si>
  <si>
    <t xml:space="preserve">5.2.02.13.01.0002 </t>
  </si>
  <si>
    <t>Belanja Modal Sumur Pemboran</t>
  </si>
  <si>
    <t xml:space="preserve">5.2.06.01.01.0006 </t>
  </si>
  <si>
    <t>Belanja Modal Aset Tidak Berwujud-Kajian</t>
  </si>
  <si>
    <t>Pembentukan dan Penguatan Kelembagaan Korporasi Petani</t>
  </si>
  <si>
    <t>3.27.07.1.03.06</t>
  </si>
  <si>
    <t xml:space="preserve">Honorarium Narasumber atau Pembahas, Moderator, Pembawa Acara, dan Panitia </t>
  </si>
  <si>
    <t xml:space="preserve">Honorarium Tim Pelaksana Kegiatan dan Sekretariat Tim Pelaksana Kegiatan </t>
  </si>
  <si>
    <t xml:space="preserve">5.1.02.02.04.0202 </t>
  </si>
  <si>
    <t xml:space="preserve">Belanja Sewa Peralatan Komunikasi untuk Dokumentasi </t>
  </si>
  <si>
    <t xml:space="preserve">5.1.01.03.07.0002 </t>
  </si>
  <si>
    <t xml:space="preserve">Belanja Honorarium Pengadaan Barang/Jasa </t>
  </si>
  <si>
    <t xml:space="preserve">5.1.01.03.08.0002 </t>
  </si>
  <si>
    <t xml:space="preserve">Belanja Jasa Pengelolaan BMD yang Tidak Menghasilkan Pendapatan </t>
  </si>
  <si>
    <t>3.27.01.1.01.02</t>
  </si>
  <si>
    <t>Koordinasi dan Penyusunan Dokumen RKA- SKPD</t>
  </si>
  <si>
    <t xml:space="preserve">Belanja Alat/Bahan untuk Kegiatan Kantor- Bahan Cetak </t>
  </si>
  <si>
    <t xml:space="preserve">Belanja Makanan dan Minuman Rapat </t>
  </si>
  <si>
    <t xml:space="preserve">Belanja Perjalanan Dinas Biasa </t>
  </si>
  <si>
    <t>3.27.01.1.01.04</t>
  </si>
  <si>
    <t>Koordinasi dan Penyusunan DPA-SKPD</t>
  </si>
  <si>
    <t>Koordinasi dan Penyusunan Laporan Capaian Kinerja dan Ikhtisar Realisasi Kinerja SKPD</t>
  </si>
  <si>
    <t>3.27.01.1.01.06</t>
  </si>
  <si>
    <t>SUB BAGIAN KEUANGAN DAN ASET</t>
  </si>
  <si>
    <t>Pelaksanaan Penatausahaan dan Pengujian/Verifikasi Keuangan SKPD</t>
  </si>
  <si>
    <t>3.27.01.1.02.03</t>
  </si>
  <si>
    <t>Pengelolaan dan Penyiapan Bahan Tanggapan Pemeriksaan</t>
  </si>
  <si>
    <t>3.27.01.1.02.06</t>
  </si>
  <si>
    <t>3.27.01.1.02.07</t>
  </si>
  <si>
    <t>Koordinasi dan Penyusunan Laporan Keuangan Bulanan/ Triwulanan/Semesteran SKPD</t>
  </si>
  <si>
    <t>3.27.01.1.02.08</t>
  </si>
  <si>
    <t>Penyusunan Pelaporan dan Analisis Prognosis Realisasi Anggaran</t>
  </si>
  <si>
    <t>Kegiatan (3.27.01.1.03)</t>
  </si>
  <si>
    <t>Administrasi Barang Milik Daerah pada Perangkat Daerah</t>
  </si>
  <si>
    <t>3.27.01.1.03.01</t>
  </si>
  <si>
    <t>Penyusunan Perencanaan Kebutuhan Barang Milik Daerah SKPD</t>
  </si>
  <si>
    <t>3.27.01.1.03.02</t>
  </si>
  <si>
    <t>Pengamanan Barang Milik Daerah SKPD</t>
  </si>
  <si>
    <t xml:space="preserve">Belanja Jasa Tenaga Teknis Pertanian dan Pangan </t>
  </si>
  <si>
    <t xml:space="preserve">5.1.02.02.01.0023 </t>
  </si>
  <si>
    <t>3.27.01.1.03.06</t>
  </si>
  <si>
    <t>Penatausahaan Barang Milik Daerah pada SKPD</t>
  </si>
  <si>
    <t>Administrasi Pendapatan Daerah Kewenangan Perangkat Daerah</t>
  </si>
  <si>
    <t>Kegiatan (3.27.01.1.04)</t>
  </si>
  <si>
    <t>3.27.01.1.04.07</t>
  </si>
  <si>
    <t>Pelaporan Pengelolaan Retribusi Daerah</t>
  </si>
  <si>
    <t xml:space="preserve">5.1.02.02.12.0003 </t>
  </si>
  <si>
    <t xml:space="preserve">5.2.02.05.03.0002 </t>
  </si>
  <si>
    <t xml:space="preserve">Belanja Modal Meja Rapat Pejabat </t>
  </si>
  <si>
    <t xml:space="preserve">5.2.02.05.03.0003 </t>
  </si>
  <si>
    <t xml:space="preserve">Belanja Modal Kursi Kerja Pejabat </t>
  </si>
  <si>
    <t xml:space="preserve">5.2.02.06.01.0001 </t>
  </si>
  <si>
    <t xml:space="preserve">Belanja Modal Peralatan Studio Audio </t>
  </si>
  <si>
    <t xml:space="preserve">5.1.02.02.01.0031 </t>
  </si>
  <si>
    <t xml:space="preserve">5.1.02.03.02.0036 </t>
  </si>
  <si>
    <t xml:space="preserve">Belanja Pemeliharaan Alat Angkutan-Alat Angkutan Darat Bermotor-Kendaraan Bermotor Penumpang </t>
  </si>
  <si>
    <t xml:space="preserve">5.1.02.02.04.0035 </t>
  </si>
  <si>
    <t xml:space="preserve">Belanja Sewa Kendaraan Dinas Bermotor Perorangan </t>
  </si>
  <si>
    <t>3.27.02.1.02.05</t>
  </si>
  <si>
    <t>Pengawasan Mutu dan Peredaran Benih Hortikultura, Tanaman Pangan, dan Perkebunan</t>
  </si>
  <si>
    <t xml:space="preserve">5.1.02.04.01.0004 </t>
  </si>
  <si>
    <t xml:space="preserve">Belanja Perjalanan Dinas Paket Meeting Dalam Kota </t>
  </si>
  <si>
    <t>Belanja Modal Alat KantorBelanja Alat/Bahan untuk Kegiatan Kantor-Bahan Komputer  Lainnya</t>
  </si>
  <si>
    <t xml:space="preserve">5.2.02.05.03.0007 </t>
  </si>
  <si>
    <t xml:space="preserve">Belanja Modal Lemari dan Arsip Pejabat </t>
  </si>
  <si>
    <t xml:space="preserve">5.1.02.02.01.0041 </t>
  </si>
  <si>
    <t xml:space="preserve">Belanja Jasa Pemasangan Instalasi Telepon, Air, dan Listrik </t>
  </si>
  <si>
    <t xml:space="preserve">5.2.04.01.01.0002 </t>
  </si>
  <si>
    <t>Belanja Modal Jalan Provinsi</t>
  </si>
  <si>
    <t xml:space="preserve">Belanja Pemeliharaan Komputer-Peralatan Komputer-Peralatan Personal Computer </t>
  </si>
  <si>
    <t xml:space="preserve">5.1.02.03.02.0409 </t>
  </si>
  <si>
    <t xml:space="preserve">Belanja Sosialisasi </t>
  </si>
  <si>
    <t xml:space="preserve">5.2.02.02.01.0002 </t>
  </si>
  <si>
    <t>Belanja Modal Kendaraan Bermotor Penumpang</t>
  </si>
  <si>
    <t>3.27.01.1.07.11</t>
  </si>
  <si>
    <t>Pengadaan Sarana dan Prasarana Pendukung Gedung Kantor atau Bangunan Lainnya</t>
  </si>
  <si>
    <t xml:space="preserve">Belanja Pemeliharaan Bangunan Gedung-Bangunan Gedung Tempat Kerja-Bangunan Gedung Kantor </t>
  </si>
  <si>
    <t xml:space="preserve">5.2.04.01.01.0009 </t>
  </si>
  <si>
    <t>Belanja Modal Jalan Khusus</t>
  </si>
  <si>
    <t xml:space="preserve">5.1.02.02.01.0036 </t>
  </si>
  <si>
    <t xml:space="preserve">Belanja Jasa Audit/Surveillance ISO </t>
  </si>
  <si>
    <t xml:space="preserve">5.2.02.05.02.0003 </t>
  </si>
  <si>
    <t xml:space="preserve">Belanja Modal Alat Pembersih </t>
  </si>
  <si>
    <t xml:space="preserve">Belanja Modal Bangunan Gedung Kantor </t>
  </si>
  <si>
    <t xml:space="preserve">5.2.04.03.01.0005 </t>
  </si>
  <si>
    <t>Belanja Modal Instalasi Air Bersih/Air Baku Lainnya</t>
  </si>
  <si>
    <t>3.27.01.1.05.03</t>
  </si>
  <si>
    <t>Pendataan dan Pengolahan Administrasi Kepegawaian</t>
  </si>
  <si>
    <t>3.27.01.1.05.05</t>
  </si>
  <si>
    <t>Monitoring, Evaluasi, dan Penilaian Kinerja Pegawai</t>
  </si>
  <si>
    <t xml:space="preserve">5.1.02.01.01.0035 </t>
  </si>
  <si>
    <t xml:space="preserve">Belanja Alat/Bahan untuk Kegiatan Kantor- Suvenir/Cendera Mata </t>
  </si>
  <si>
    <t xml:space="preserve">ANGGARAN </t>
  </si>
  <si>
    <t>DEVIASI ANGKAS</t>
  </si>
  <si>
    <t>SIPD</t>
  </si>
  <si>
    <t>PAGU</t>
  </si>
  <si>
    <t>66% - 100%</t>
  </si>
  <si>
    <t>36% - 65%</t>
  </si>
  <si>
    <t>0%  - 35%</t>
  </si>
  <si>
    <t>ANGKAS RAPIM MEI 2024</t>
  </si>
  <si>
    <t>ANGKAS</t>
  </si>
  <si>
    <t>Koordinasi, Sinkronisasi dan Pelaksanaan Pengelolaan Jalan Usaha Tani</t>
  </si>
  <si>
    <t>5.1.01.01.07.0002</t>
  </si>
  <si>
    <t>Belanja Tunjangan PPh/Tunjangan Khusus PPPK</t>
  </si>
  <si>
    <t>Belanja Alat/Bahan untuk Kegiatan KantorSuvenir/Cendera Mata</t>
  </si>
  <si>
    <t xml:space="preserve">5.1.02.02.01.0055 </t>
  </si>
  <si>
    <t xml:space="preserve">Belanja Jasa Iklan/Reklame, Film, dan Pemotretan </t>
  </si>
  <si>
    <t xml:space="preserve">5.1.02.02.04.0132 </t>
  </si>
  <si>
    <t xml:space="preserve">Belanja Sewa Peralatan Studio Audio </t>
  </si>
  <si>
    <t>DPI BERMASALAH</t>
  </si>
  <si>
    <t>Belanja Alat/Bahan untuk Kegiatan Kantor-Alat</t>
  </si>
  <si>
    <t>PER 02 SEPTEMBER 2024</t>
  </si>
  <si>
    <t>ANGKAS BULAN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</si>
</sst>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\-* #,##0_-;_-* &quot;-&quot;_-;_-@_-"/>
    <numFmt numFmtId="165" formatCode="_(* #,##0.00_);_(* \(#,##0.00\);_(* \-??_);_(@_)"/>
    <numFmt numFmtId="166" formatCode="_-* #,##0.00_-;\-* #,##0.00_-;_-* &quot;-&quot;_-;_-@_-"/>
    <numFmt numFmtId="167" formatCode="_(* #,##0_);_(* \(#,##0\);_(* \-??_);_(@_)"/>
  </numFmts>
  <fonts count="26">
    <font>
      <sz val="10"/>
      <color rgb="FF000000"/>
      <name val="Arial"/>
      <charset val="13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omic Sans MS"/>
      <family val="4"/>
    </font>
    <font>
      <sz val="11"/>
      <color rgb="FF000000"/>
      <name val="Comic Sans MS"/>
      <family val="4"/>
    </font>
    <font>
      <b/>
      <sz val="11"/>
      <color rgb="FF000000"/>
      <name val="Comic Sans MS"/>
      <family val="4"/>
    </font>
    <font>
      <b/>
      <sz val="11"/>
      <name val="Comic Sans MS"/>
      <family val="4"/>
    </font>
    <font>
      <sz val="11"/>
      <name val="Comic Sans MS"/>
      <family val="4"/>
    </font>
    <font>
      <b/>
      <sz val="12"/>
      <name val="Comic Sans MS"/>
      <family val="4"/>
    </font>
    <font>
      <sz val="11"/>
      <color rgb="FF000000"/>
      <name val="Book Antiqua"/>
      <family val="1"/>
    </font>
    <font>
      <sz val="12"/>
      <name val="Comic Sans MS"/>
      <family val="4"/>
    </font>
    <font>
      <sz val="10"/>
      <name val="Arial"/>
      <family val="2"/>
    </font>
    <font>
      <sz val="11"/>
      <color rgb="FFFF0000"/>
      <name val="Comic Sans MS"/>
      <family val="4"/>
    </font>
    <font>
      <u/>
      <sz val="11"/>
      <name val="Comic Sans MS"/>
      <family val="4"/>
    </font>
    <font>
      <sz val="12"/>
      <color theme="0"/>
      <name val="Courier New"/>
      <family val="3"/>
    </font>
    <font>
      <sz val="11"/>
      <color rgb="FF000000"/>
      <name val="Courier New"/>
      <family val="3"/>
    </font>
    <font>
      <b/>
      <sz val="14"/>
      <color rgb="FF000000"/>
      <name val="Courier New"/>
      <family val="3"/>
    </font>
    <font>
      <b/>
      <sz val="12"/>
      <color theme="0"/>
      <name val="Courier New"/>
      <family val="3"/>
    </font>
    <font>
      <b/>
      <sz val="14"/>
      <color theme="0"/>
      <name val="Courier New"/>
      <family val="3"/>
    </font>
    <font>
      <b/>
      <sz val="11"/>
      <color rgb="FF000000"/>
      <name val="Courier New"/>
      <family val="3"/>
    </font>
    <font>
      <sz val="14"/>
      <color theme="0"/>
      <name val="Courier New"/>
      <family val="3"/>
    </font>
    <font>
      <sz val="9"/>
      <name val="Tahoma"/>
      <family val="2"/>
    </font>
    <font>
      <b/>
      <sz val="9"/>
      <name val="Tahoma"/>
      <family val="2"/>
    </font>
    <font>
      <sz val="10"/>
      <color rgb="FF000000"/>
      <name val="Arial"/>
      <family val="2"/>
    </font>
    <font>
      <sz val="11"/>
      <color rgb="FF000000"/>
      <name val="Leelawadee"/>
      <family val="2"/>
    </font>
    <font>
      <sz val="10"/>
      <color rgb="FF000000"/>
      <name val="Arial"/>
      <charset val="134"/>
    </font>
  </fonts>
  <fills count="39">
    <fill>
      <patternFill patternType="none"/>
    </fill>
    <fill>
      <patternFill patternType="gray125"/>
    </fill>
    <fill>
      <patternFill patternType="solid">
        <fgColor rgb="FFC3D69B"/>
        <bgColor rgb="FFD7E4BD"/>
      </patternFill>
    </fill>
    <fill>
      <patternFill patternType="solid">
        <fgColor theme="8" tint="0.59999389629810485"/>
        <bgColor rgb="FFC0504D"/>
      </patternFill>
    </fill>
    <fill>
      <patternFill patternType="solid">
        <fgColor theme="9" tint="0.59999389629810485"/>
        <bgColor rgb="FFD7E4BD"/>
      </patternFill>
    </fill>
    <fill>
      <patternFill patternType="solid">
        <fgColor rgb="FFCCCCFF"/>
        <bgColor rgb="FFD7E4BD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CCFF"/>
        <bgColor rgb="FF9999FF"/>
      </patternFill>
    </fill>
    <fill>
      <patternFill patternType="solid">
        <fgColor rgb="FFFFFF00"/>
        <bgColor indexed="64"/>
      </patternFill>
    </fill>
    <fill>
      <patternFill patternType="solid">
        <fgColor rgb="FFEEB0AE"/>
        <bgColor rgb="FFC0504D"/>
      </patternFill>
    </fill>
    <fill>
      <patternFill patternType="solid">
        <fgColor theme="9" tint="0.59999389629810485"/>
        <bgColor rgb="FFC0504D"/>
      </patternFill>
    </fill>
    <fill>
      <patternFill patternType="solid">
        <fgColor rgb="FFEEB0AE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EEB0AE"/>
        <bgColor rgb="FFFFFF00"/>
      </patternFill>
    </fill>
    <fill>
      <patternFill patternType="solid">
        <fgColor theme="9" tint="0.59999389629810485"/>
        <bgColor rgb="FFFFFF00"/>
      </patternFill>
    </fill>
    <fill>
      <patternFill patternType="solid">
        <fgColor rgb="FF00B0F0"/>
        <bgColor rgb="FF008080"/>
      </patternFill>
    </fill>
    <fill>
      <patternFill patternType="solid">
        <fgColor rgb="FFFFFF00"/>
        <bgColor rgb="FF993366"/>
      </patternFill>
    </fill>
    <fill>
      <patternFill patternType="solid">
        <fgColor theme="4" tint="0.59999389629810485"/>
        <bgColor rgb="FFE6B9B8"/>
      </patternFill>
    </fill>
    <fill>
      <patternFill patternType="solid">
        <fgColor rgb="FFEEB0AE"/>
        <bgColor rgb="FFFFC000"/>
      </patternFill>
    </fill>
    <fill>
      <patternFill patternType="solid">
        <fgColor theme="9" tint="0.59999389629810485"/>
        <bgColor rgb="FFFFC000"/>
      </patternFill>
    </fill>
    <fill>
      <patternFill patternType="solid">
        <fgColor theme="9" tint="0.59999389629810485"/>
        <bgColor rgb="FF9999FF"/>
      </patternFill>
    </fill>
    <fill>
      <patternFill patternType="solid">
        <fgColor rgb="FFFAC090"/>
        <bgColor rgb="FFE6B9B8"/>
      </patternFill>
    </fill>
    <fill>
      <patternFill patternType="solid">
        <fgColor rgb="FFE1AAA9"/>
        <bgColor rgb="FFE6B9B8"/>
      </patternFill>
    </fill>
    <fill>
      <patternFill patternType="solid">
        <fgColor rgb="FFE6B9B8"/>
        <bgColor rgb="FFFAC090"/>
      </patternFill>
    </fill>
    <fill>
      <patternFill patternType="solid">
        <fgColor rgb="FFFFFF00"/>
        <bgColor rgb="FFFAC090"/>
      </patternFill>
    </fill>
    <fill>
      <patternFill patternType="solid">
        <fgColor rgb="FFFFFF00"/>
        <bgColor rgb="FFFFC000"/>
      </patternFill>
    </fill>
    <fill>
      <patternFill patternType="solid">
        <fgColor rgb="FFFF0000"/>
        <bgColor indexed="64"/>
      </patternFill>
    </fill>
    <fill>
      <patternFill patternType="solid">
        <fgColor theme="7" tint="0.79995117038483843"/>
        <bgColor rgb="FFD7E4BD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5117038483843"/>
        <bgColor rgb="FFFFFF00"/>
      </patternFill>
    </fill>
    <fill>
      <patternFill patternType="solid">
        <fgColor rgb="FFFF0000"/>
        <bgColor rgb="FF008080"/>
      </patternFill>
    </fill>
    <fill>
      <patternFill patternType="solid">
        <fgColor rgb="FFFFC00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0.79995117038483843"/>
        <bgColor rgb="FFFAC09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79995117038483843"/>
        <bgColor rgb="FFFFC000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top"/>
    </xf>
    <xf numFmtId="165" fontId="23" fillId="0" borderId="0" applyBorder="0" applyProtection="0">
      <alignment vertical="top"/>
    </xf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1" fillId="0" borderId="0"/>
    <xf numFmtId="0" fontId="2" fillId="0" borderId="0"/>
    <xf numFmtId="9" fontId="25" fillId="0" borderId="0" applyFont="0" applyFill="0" applyBorder="0" applyAlignment="0" applyProtection="0"/>
  </cellStyleXfs>
  <cellXfs count="275">
    <xf numFmtId="0" fontId="0" fillId="0" borderId="0" xfId="0">
      <alignment vertical="top"/>
    </xf>
    <xf numFmtId="0" fontId="3" fillId="0" borderId="0" xfId="0" applyFont="1">
      <alignment vertical="top"/>
    </xf>
    <xf numFmtId="0" fontId="4" fillId="2" borderId="0" xfId="0" applyFont="1" applyFill="1">
      <alignment vertical="top"/>
    </xf>
    <xf numFmtId="0" fontId="4" fillId="3" borderId="0" xfId="0" applyFont="1" applyFill="1">
      <alignment vertical="top"/>
    </xf>
    <xf numFmtId="0" fontId="4" fillId="4" borderId="0" xfId="0" applyFont="1" applyFill="1">
      <alignment vertical="top"/>
    </xf>
    <xf numFmtId="0" fontId="4" fillId="5" borderId="0" xfId="0" applyFont="1" applyFill="1">
      <alignment vertical="top"/>
    </xf>
    <xf numFmtId="0" fontId="5" fillId="6" borderId="0" xfId="0" applyFont="1" applyFill="1">
      <alignment vertical="top"/>
    </xf>
    <xf numFmtId="0" fontId="4" fillId="7" borderId="0" xfId="0" applyFont="1" applyFill="1">
      <alignment vertical="top"/>
    </xf>
    <xf numFmtId="0" fontId="4" fillId="8" borderId="0" xfId="0" applyFont="1" applyFill="1">
      <alignment vertical="top"/>
    </xf>
    <xf numFmtId="0" fontId="4" fillId="6" borderId="0" xfId="0" applyFont="1" applyFill="1">
      <alignment vertical="top"/>
    </xf>
    <xf numFmtId="0" fontId="4" fillId="9" borderId="0" xfId="0" applyFont="1" applyFill="1">
      <alignment vertical="top"/>
    </xf>
    <xf numFmtId="0" fontId="4" fillId="10" borderId="0" xfId="0" applyFont="1" applyFill="1">
      <alignment vertical="top"/>
    </xf>
    <xf numFmtId="0" fontId="4" fillId="11" borderId="0" xfId="0" applyFont="1" applyFill="1">
      <alignment vertical="top"/>
    </xf>
    <xf numFmtId="0" fontId="4" fillId="12" borderId="0" xfId="0" applyFont="1" applyFill="1">
      <alignment vertical="top"/>
    </xf>
    <xf numFmtId="0" fontId="4" fillId="0" borderId="0" xfId="0" applyFont="1" applyFill="1">
      <alignment vertical="top"/>
    </xf>
    <xf numFmtId="0" fontId="4" fillId="13" borderId="0" xfId="0" applyFont="1" applyFill="1">
      <alignment vertical="top"/>
    </xf>
    <xf numFmtId="0" fontId="4" fillId="14" borderId="0" xfId="0" applyFont="1" applyFill="1">
      <alignment vertical="top"/>
    </xf>
    <xf numFmtId="0" fontId="4" fillId="15" borderId="0" xfId="0" applyFont="1" applyFill="1">
      <alignment vertical="top"/>
    </xf>
    <xf numFmtId="0" fontId="4" fillId="0" borderId="0" xfId="0" applyFont="1">
      <alignment vertical="top"/>
    </xf>
    <xf numFmtId="164" fontId="4" fillId="0" borderId="0" xfId="3" applyFont="1" applyAlignment="1">
      <alignment vertical="top"/>
    </xf>
    <xf numFmtId="164" fontId="4" fillId="0" borderId="0" xfId="3" applyFont="1" applyBorder="1" applyAlignment="1">
      <alignment vertical="top"/>
    </xf>
    <xf numFmtId="166" fontId="4" fillId="0" borderId="0" xfId="3" applyNumberFormat="1" applyFont="1" applyAlignment="1">
      <alignment vertical="top"/>
    </xf>
    <xf numFmtId="0" fontId="6" fillId="0" borderId="0" xfId="0" applyFont="1" applyAlignment="1">
      <alignment horizontal="left" vertical="top" wrapText="1" readingOrder="1"/>
    </xf>
    <xf numFmtId="164" fontId="6" fillId="0" borderId="0" xfId="3" applyFont="1" applyBorder="1" applyAlignment="1">
      <alignment horizontal="left" vertical="top" wrapText="1" readingOrder="1"/>
    </xf>
    <xf numFmtId="164" fontId="7" fillId="0" borderId="0" xfId="3" applyFont="1" applyBorder="1" applyAlignment="1">
      <alignment vertical="top" wrapText="1"/>
    </xf>
    <xf numFmtId="0" fontId="7" fillId="0" borderId="1" xfId="0" applyFont="1" applyBorder="1">
      <alignment vertical="top"/>
    </xf>
    <xf numFmtId="0" fontId="7" fillId="0" borderId="0" xfId="0" applyFont="1">
      <alignment vertical="top"/>
    </xf>
    <xf numFmtId="164" fontId="7" fillId="0" borderId="0" xfId="3" applyFont="1" applyBorder="1" applyAlignment="1">
      <alignment vertical="top"/>
    </xf>
    <xf numFmtId="164" fontId="8" fillId="16" borderId="3" xfId="3" applyFont="1" applyFill="1" applyBorder="1" applyAlignment="1">
      <alignment horizontal="center" vertical="center" wrapText="1" readingOrder="1"/>
    </xf>
    <xf numFmtId="0" fontId="6" fillId="17" borderId="3" xfId="0" applyFont="1" applyFill="1" applyBorder="1" applyAlignment="1">
      <alignment horizontal="left" vertical="top" wrapText="1"/>
    </xf>
    <xf numFmtId="0" fontId="6" fillId="17" borderId="3" xfId="0" applyFont="1" applyFill="1" applyBorder="1">
      <alignment vertical="top"/>
    </xf>
    <xf numFmtId="164" fontId="6" fillId="17" borderId="3" xfId="3" applyFont="1" applyFill="1" applyBorder="1" applyAlignment="1">
      <alignment vertical="top"/>
    </xf>
    <xf numFmtId="0" fontId="6" fillId="18" borderId="3" xfId="0" applyFont="1" applyFill="1" applyBorder="1" applyAlignment="1">
      <alignment horizontal="left" vertical="top" wrapText="1"/>
    </xf>
    <xf numFmtId="0" fontId="6" fillId="18" borderId="3" xfId="0" applyFont="1" applyFill="1" applyBorder="1">
      <alignment vertical="top"/>
    </xf>
    <xf numFmtId="164" fontId="6" fillId="18" borderId="3" xfId="3" applyFont="1" applyFill="1" applyBorder="1" applyAlignment="1">
      <alignment vertical="top"/>
    </xf>
    <xf numFmtId="0" fontId="6" fillId="19" borderId="3" xfId="0" applyFont="1" applyFill="1" applyBorder="1" applyAlignment="1">
      <alignment horizontal="left" vertical="top" wrapText="1"/>
    </xf>
    <xf numFmtId="0" fontId="6" fillId="19" borderId="3" xfId="0" applyFont="1" applyFill="1" applyBorder="1">
      <alignment vertical="top"/>
    </xf>
    <xf numFmtId="164" fontId="6" fillId="19" borderId="3" xfId="3" applyFont="1" applyFill="1" applyBorder="1" applyAlignment="1">
      <alignment vertical="top"/>
    </xf>
    <xf numFmtId="0" fontId="6" fillId="20" borderId="3" xfId="0" applyFont="1" applyFill="1" applyBorder="1" applyAlignment="1">
      <alignment horizontal="left" vertical="top" wrapText="1"/>
    </xf>
    <xf numFmtId="0" fontId="6" fillId="6" borderId="3" xfId="0" applyFont="1" applyFill="1" applyBorder="1">
      <alignment vertical="top"/>
    </xf>
    <xf numFmtId="164" fontId="6" fillId="21" borderId="3" xfId="3" applyFont="1" applyFill="1" applyBorder="1" applyAlignment="1">
      <alignment horizontal="right" vertical="top"/>
    </xf>
    <xf numFmtId="0" fontId="7" fillId="22" borderId="3" xfId="0" applyFont="1" applyFill="1" applyBorder="1" applyAlignment="1">
      <alignment horizontal="left" vertical="top" wrapText="1"/>
    </xf>
    <xf numFmtId="0" fontId="7" fillId="22" borderId="3" xfId="0" applyFont="1" applyFill="1" applyBorder="1">
      <alignment vertical="top"/>
    </xf>
    <xf numFmtId="164" fontId="7" fillId="22" borderId="3" xfId="3" applyFont="1" applyFill="1" applyBorder="1" applyAlignment="1">
      <alignment vertical="top"/>
    </xf>
    <xf numFmtId="0" fontId="7" fillId="0" borderId="3" xfId="0" applyFont="1" applyBorder="1">
      <alignment vertical="top"/>
    </xf>
    <xf numFmtId="0" fontId="7" fillId="0" borderId="3" xfId="0" applyFont="1" applyBorder="1" applyAlignment="1">
      <alignment vertical="top" wrapText="1"/>
    </xf>
    <xf numFmtId="164" fontId="7" fillId="0" borderId="3" xfId="3" applyFont="1" applyBorder="1" applyAlignment="1">
      <alignment vertical="top" wrapText="1"/>
    </xf>
    <xf numFmtId="164" fontId="7" fillId="0" borderId="3" xfId="3" applyFont="1" applyBorder="1" applyAlignment="1">
      <alignment vertical="top"/>
    </xf>
    <xf numFmtId="164" fontId="7" fillId="0" borderId="3" xfId="3" applyFont="1" applyBorder="1" applyAlignment="1">
      <alignment horizontal="right" vertical="top"/>
    </xf>
    <xf numFmtId="3" fontId="7" fillId="0" borderId="3" xfId="0" applyNumberFormat="1" applyFont="1" applyBorder="1">
      <alignment vertical="top"/>
    </xf>
    <xf numFmtId="0" fontId="6" fillId="23" borderId="3" xfId="0" applyFont="1" applyFill="1" applyBorder="1" applyAlignment="1">
      <alignment horizontal="left" vertical="top" wrapText="1"/>
    </xf>
    <xf numFmtId="0" fontId="6" fillId="24" borderId="3" xfId="0" applyFont="1" applyFill="1" applyBorder="1">
      <alignment vertical="top"/>
    </xf>
    <xf numFmtId="164" fontId="6" fillId="24" borderId="3" xfId="3" applyFont="1" applyFill="1" applyBorder="1" applyAlignment="1">
      <alignment vertical="top"/>
    </xf>
    <xf numFmtId="0" fontId="6" fillId="25" borderId="3" xfId="0" applyFont="1" applyFill="1" applyBorder="1" applyAlignment="1">
      <alignment horizontal="left" vertical="top" wrapText="1"/>
    </xf>
    <xf numFmtId="0" fontId="6" fillId="25" borderId="3" xfId="0" applyFont="1" applyFill="1" applyBorder="1">
      <alignment vertical="top"/>
    </xf>
    <xf numFmtId="164" fontId="6" fillId="25" borderId="3" xfId="3" applyFont="1" applyFill="1" applyBorder="1" applyAlignment="1">
      <alignment vertical="top"/>
    </xf>
    <xf numFmtId="0" fontId="7" fillId="9" borderId="3" xfId="0" applyFont="1" applyFill="1" applyBorder="1">
      <alignment vertical="top"/>
    </xf>
    <xf numFmtId="0" fontId="6" fillId="9" borderId="3" xfId="0" applyFont="1" applyFill="1" applyBorder="1" applyAlignment="1">
      <alignment vertical="top" wrapText="1"/>
    </xf>
    <xf numFmtId="164" fontId="6" fillId="9" borderId="3" xfId="3" applyFont="1" applyFill="1" applyBorder="1" applyAlignment="1">
      <alignment vertical="top" wrapText="1"/>
    </xf>
    <xf numFmtId="0" fontId="7" fillId="8" borderId="3" xfId="0" applyFont="1" applyFill="1" applyBorder="1" applyAlignment="1">
      <alignment horizontal="left" vertical="top" wrapText="1"/>
    </xf>
    <xf numFmtId="164" fontId="7" fillId="8" borderId="3" xfId="3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vertical="top" wrapText="1"/>
    </xf>
    <xf numFmtId="164" fontId="6" fillId="6" borderId="3" xfId="3" applyFont="1" applyFill="1" applyBorder="1" applyAlignment="1">
      <alignment horizontal="right" vertical="top"/>
    </xf>
    <xf numFmtId="164" fontId="7" fillId="0" borderId="3" xfId="3" applyFont="1" applyFill="1" applyBorder="1" applyAlignment="1">
      <alignment vertical="top"/>
    </xf>
    <xf numFmtId="166" fontId="4" fillId="0" borderId="0" xfId="3" applyNumberFormat="1" applyFont="1" applyBorder="1" applyAlignment="1">
      <alignment vertical="top"/>
    </xf>
    <xf numFmtId="164" fontId="7" fillId="0" borderId="0" xfId="3" applyFont="1" applyAlignment="1">
      <alignment vertical="top"/>
    </xf>
    <xf numFmtId="3" fontId="9" fillId="0" borderId="0" xfId="0" applyNumberFormat="1" applyFont="1">
      <alignment vertical="top"/>
    </xf>
    <xf numFmtId="166" fontId="7" fillId="0" borderId="0" xfId="3" applyNumberFormat="1" applyFont="1" applyAlignment="1">
      <alignment vertical="top"/>
    </xf>
    <xf numFmtId="164" fontId="7" fillId="0" borderId="0" xfId="2" applyFont="1" applyAlignment="1">
      <alignment vertical="top"/>
    </xf>
    <xf numFmtId="164" fontId="7" fillId="0" borderId="0" xfId="3" applyNumberFormat="1" applyFont="1" applyBorder="1" applyAlignment="1">
      <alignment vertical="top" wrapText="1"/>
    </xf>
    <xf numFmtId="166" fontId="7" fillId="0" borderId="0" xfId="3" applyNumberFormat="1" applyFont="1" applyBorder="1" applyAlignment="1">
      <alignment vertical="top" wrapText="1"/>
    </xf>
    <xf numFmtId="166" fontId="7" fillId="0" borderId="0" xfId="3" applyNumberFormat="1" applyFont="1" applyBorder="1" applyAlignment="1">
      <alignment vertical="top"/>
    </xf>
    <xf numFmtId="166" fontId="8" fillId="16" borderId="3" xfId="3" applyNumberFormat="1" applyFont="1" applyFill="1" applyBorder="1" applyAlignment="1">
      <alignment horizontal="center" vertical="center" wrapText="1" readingOrder="1"/>
    </xf>
    <xf numFmtId="166" fontId="8" fillId="16" borderId="3" xfId="3" applyNumberFormat="1" applyFont="1" applyFill="1" applyBorder="1" applyAlignment="1">
      <alignment horizontal="center" wrapText="1" readingOrder="1"/>
    </xf>
    <xf numFmtId="166" fontId="6" fillId="17" borderId="3" xfId="3" applyNumberFormat="1" applyFont="1" applyFill="1" applyBorder="1" applyAlignment="1">
      <alignment vertical="top"/>
    </xf>
    <xf numFmtId="166" fontId="6" fillId="18" borderId="3" xfId="3" applyNumberFormat="1" applyFont="1" applyFill="1" applyBorder="1" applyAlignment="1">
      <alignment vertical="top"/>
    </xf>
    <xf numFmtId="166" fontId="6" fillId="19" borderId="3" xfId="3" applyNumberFormat="1" applyFont="1" applyFill="1" applyBorder="1" applyAlignment="1">
      <alignment vertical="top"/>
    </xf>
    <xf numFmtId="166" fontId="6" fillId="21" borderId="3" xfId="3" applyNumberFormat="1" applyFont="1" applyFill="1" applyBorder="1" applyAlignment="1">
      <alignment horizontal="right" vertical="top"/>
    </xf>
    <xf numFmtId="166" fontId="7" fillId="22" borderId="3" xfId="3" applyNumberFormat="1" applyFont="1" applyFill="1" applyBorder="1" applyAlignment="1">
      <alignment vertical="top"/>
    </xf>
    <xf numFmtId="166" fontId="7" fillId="0" borderId="3" xfId="3" applyNumberFormat="1" applyFont="1" applyBorder="1" applyAlignment="1">
      <alignment vertical="top"/>
    </xf>
    <xf numFmtId="3" fontId="4" fillId="0" borderId="3" xfId="0" applyNumberFormat="1" applyFont="1" applyBorder="1">
      <alignment vertical="top"/>
    </xf>
    <xf numFmtId="166" fontId="6" fillId="24" borderId="3" xfId="3" applyNumberFormat="1" applyFont="1" applyFill="1" applyBorder="1" applyAlignment="1">
      <alignment vertical="top"/>
    </xf>
    <xf numFmtId="166" fontId="6" fillId="25" borderId="3" xfId="3" applyNumberFormat="1" applyFont="1" applyFill="1" applyBorder="1" applyAlignment="1">
      <alignment vertical="top"/>
    </xf>
    <xf numFmtId="166" fontId="6" fillId="9" borderId="3" xfId="3" applyNumberFormat="1" applyFont="1" applyFill="1" applyBorder="1" applyAlignment="1">
      <alignment vertical="top" wrapText="1"/>
    </xf>
    <xf numFmtId="166" fontId="7" fillId="8" borderId="3" xfId="3" applyNumberFormat="1" applyFont="1" applyFill="1" applyBorder="1" applyAlignment="1">
      <alignment horizontal="left" vertical="top" wrapText="1"/>
    </xf>
    <xf numFmtId="166" fontId="6" fillId="6" borderId="3" xfId="3" applyNumberFormat="1" applyFont="1" applyFill="1" applyBorder="1" applyAlignment="1">
      <alignment horizontal="right" vertical="top"/>
    </xf>
    <xf numFmtId="164" fontId="10" fillId="0" borderId="0" xfId="0" applyNumberFormat="1" applyFont="1">
      <alignment vertical="top"/>
    </xf>
    <xf numFmtId="0" fontId="10" fillId="0" borderId="0" xfId="0" applyFont="1">
      <alignment vertical="top"/>
    </xf>
    <xf numFmtId="164" fontId="7" fillId="0" borderId="0" xfId="0" applyNumberFormat="1" applyFont="1">
      <alignment vertical="top"/>
    </xf>
    <xf numFmtId="164" fontId="7" fillId="2" borderId="0" xfId="0" applyNumberFormat="1" applyFont="1" applyFill="1">
      <alignment vertical="top"/>
    </xf>
    <xf numFmtId="164" fontId="5" fillId="0" borderId="0" xfId="3" applyFont="1" applyBorder="1" applyAlignment="1">
      <alignment horizontal="left" vertical="top" wrapText="1" readingOrder="1"/>
    </xf>
    <xf numFmtId="0" fontId="7" fillId="4" borderId="0" xfId="0" applyFont="1" applyFill="1">
      <alignment vertical="top"/>
    </xf>
    <xf numFmtId="0" fontId="7" fillId="2" borderId="0" xfId="0" applyFont="1" applyFill="1">
      <alignment vertical="top"/>
    </xf>
    <xf numFmtId="164" fontId="4" fillId="0" borderId="0" xfId="3" applyFont="1" applyBorder="1" applyAlignment="1">
      <alignment vertical="top" wrapText="1"/>
    </xf>
    <xf numFmtId="166" fontId="4" fillId="0" borderId="0" xfId="3" applyNumberFormat="1" applyFont="1" applyBorder="1" applyAlignment="1">
      <alignment vertical="top" wrapText="1"/>
    </xf>
    <xf numFmtId="164" fontId="7" fillId="0" borderId="3" xfId="3" applyFont="1" applyFill="1" applyBorder="1" applyAlignment="1">
      <alignment vertical="top" wrapText="1"/>
    </xf>
    <xf numFmtId="0" fontId="7" fillId="7" borderId="3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164" fontId="7" fillId="0" borderId="3" xfId="3" applyFont="1" applyBorder="1" applyAlignment="1">
      <alignment horizontal="center" vertical="top" wrapText="1"/>
    </xf>
    <xf numFmtId="164" fontId="7" fillId="7" borderId="3" xfId="3" applyFont="1" applyFill="1" applyBorder="1" applyAlignment="1" applyProtection="1">
      <alignment horizontal="right" vertical="top"/>
    </xf>
    <xf numFmtId="164" fontId="7" fillId="8" borderId="3" xfId="3" applyFont="1" applyFill="1" applyBorder="1" applyAlignment="1">
      <alignment vertical="top" wrapText="1"/>
    </xf>
    <xf numFmtId="164" fontId="6" fillId="6" borderId="3" xfId="3" applyFont="1" applyFill="1" applyBorder="1" applyAlignment="1">
      <alignment vertical="top"/>
    </xf>
    <xf numFmtId="166" fontId="7" fillId="7" borderId="3" xfId="3" applyNumberFormat="1" applyFont="1" applyFill="1" applyBorder="1" applyAlignment="1" applyProtection="1">
      <alignment horizontal="right" vertical="top"/>
    </xf>
    <xf numFmtId="166" fontId="7" fillId="8" borderId="3" xfId="3" applyNumberFormat="1" applyFont="1" applyFill="1" applyBorder="1" applyAlignment="1">
      <alignment vertical="top" wrapText="1"/>
    </xf>
    <xf numFmtId="166" fontId="6" fillId="6" borderId="3" xfId="3" applyNumberFormat="1" applyFont="1" applyFill="1" applyBorder="1" applyAlignment="1">
      <alignment vertical="top"/>
    </xf>
    <xf numFmtId="0" fontId="6" fillId="21" borderId="3" xfId="0" applyFont="1" applyFill="1" applyBorder="1">
      <alignment vertical="top"/>
    </xf>
    <xf numFmtId="0" fontId="6" fillId="9" borderId="3" xfId="0" applyFont="1" applyFill="1" applyBorder="1">
      <alignment vertical="top"/>
    </xf>
    <xf numFmtId="0" fontId="6" fillId="20" borderId="3" xfId="0" applyFont="1" applyFill="1" applyBorder="1">
      <alignment vertical="top"/>
    </xf>
    <xf numFmtId="164" fontId="6" fillId="20" borderId="3" xfId="3" applyFont="1" applyFill="1" applyBorder="1" applyAlignment="1">
      <alignment vertical="top"/>
    </xf>
    <xf numFmtId="164" fontId="7" fillId="0" borderId="3" xfId="3" applyFont="1" applyBorder="1" applyAlignment="1" applyProtection="1">
      <alignment horizontal="right" vertical="top" wrapText="1"/>
      <protection locked="0"/>
    </xf>
    <xf numFmtId="164" fontId="7" fillId="8" borderId="3" xfId="3" applyFont="1" applyFill="1" applyBorder="1" applyAlignment="1" applyProtection="1">
      <alignment horizontal="right" vertical="top"/>
    </xf>
    <xf numFmtId="0" fontId="6" fillId="12" borderId="3" xfId="0" applyFont="1" applyFill="1" applyBorder="1" applyAlignment="1">
      <alignment vertical="top" wrapText="1"/>
    </xf>
    <xf numFmtId="164" fontId="6" fillId="12" borderId="3" xfId="3" applyFont="1" applyFill="1" applyBorder="1" applyAlignment="1">
      <alignment horizontal="right" vertical="top"/>
    </xf>
    <xf numFmtId="166" fontId="6" fillId="20" borderId="3" xfId="3" applyNumberFormat="1" applyFont="1" applyFill="1" applyBorder="1" applyAlignment="1">
      <alignment vertical="top"/>
    </xf>
    <xf numFmtId="166" fontId="7" fillId="8" borderId="3" xfId="3" applyNumberFormat="1" applyFont="1" applyFill="1" applyBorder="1" applyAlignment="1" applyProtection="1">
      <alignment horizontal="right" vertical="top"/>
    </xf>
    <xf numFmtId="166" fontId="6" fillId="12" borderId="3" xfId="3" applyNumberFormat="1" applyFont="1" applyFill="1" applyBorder="1" applyAlignment="1">
      <alignment horizontal="right" vertical="top"/>
    </xf>
    <xf numFmtId="164" fontId="6" fillId="9" borderId="3" xfId="3" applyFont="1" applyFill="1" applyBorder="1" applyAlignment="1">
      <alignment horizontal="right" vertical="top"/>
    </xf>
    <xf numFmtId="164" fontId="6" fillId="19" borderId="3" xfId="3" applyFont="1" applyFill="1" applyBorder="1" applyAlignment="1" applyProtection="1">
      <alignment horizontal="right" vertical="top"/>
    </xf>
    <xf numFmtId="164" fontId="6" fillId="20" borderId="3" xfId="3" applyFont="1" applyFill="1" applyBorder="1" applyAlignment="1" applyProtection="1">
      <alignment horizontal="right" vertical="top"/>
    </xf>
    <xf numFmtId="0" fontId="7" fillId="0" borderId="3" xfId="0" applyFont="1" applyFill="1" applyBorder="1">
      <alignment vertical="top"/>
    </xf>
    <xf numFmtId="0" fontId="7" fillId="0" borderId="3" xfId="0" applyFont="1" applyFill="1" applyBorder="1" applyAlignment="1">
      <alignment vertical="top" wrapText="1"/>
    </xf>
    <xf numFmtId="164" fontId="7" fillId="0" borderId="3" xfId="3" applyFont="1" applyFill="1" applyBorder="1" applyAlignment="1">
      <alignment horizontal="right" vertical="top"/>
    </xf>
    <xf numFmtId="0" fontId="6" fillId="26" borderId="3" xfId="0" applyFont="1" applyFill="1" applyBorder="1" applyAlignment="1">
      <alignment horizontal="left" vertical="top"/>
    </xf>
    <xf numFmtId="164" fontId="6" fillId="19" borderId="3" xfId="3" applyFont="1" applyFill="1" applyBorder="1" applyAlignment="1">
      <alignment horizontal="right" vertical="top"/>
    </xf>
    <xf numFmtId="164" fontId="6" fillId="20" borderId="3" xfId="3" applyFont="1" applyFill="1" applyBorder="1" applyAlignment="1">
      <alignment horizontal="right" vertical="top"/>
    </xf>
    <xf numFmtId="0" fontId="6" fillId="12" borderId="3" xfId="0" applyFont="1" applyFill="1" applyBorder="1" applyAlignment="1">
      <alignment horizontal="left" vertical="top" wrapText="1"/>
    </xf>
    <xf numFmtId="164" fontId="7" fillId="8" borderId="3" xfId="3" applyFont="1" applyFill="1" applyBorder="1" applyAlignment="1">
      <alignment horizontal="right" vertical="top"/>
    </xf>
    <xf numFmtId="166" fontId="6" fillId="9" borderId="3" xfId="3" applyNumberFormat="1" applyFont="1" applyFill="1" applyBorder="1" applyAlignment="1">
      <alignment horizontal="right" vertical="top"/>
    </xf>
    <xf numFmtId="166" fontId="6" fillId="19" borderId="3" xfId="3" applyNumberFormat="1" applyFont="1" applyFill="1" applyBorder="1" applyAlignment="1" applyProtection="1">
      <alignment horizontal="right" vertical="top"/>
    </xf>
    <xf numFmtId="166" fontId="6" fillId="20" borderId="3" xfId="3" applyNumberFormat="1" applyFont="1" applyFill="1" applyBorder="1" applyAlignment="1" applyProtection="1">
      <alignment horizontal="right" vertical="top"/>
    </xf>
    <xf numFmtId="166" fontId="7" fillId="0" borderId="3" xfId="3" applyNumberFormat="1" applyFont="1" applyFill="1" applyBorder="1" applyAlignment="1">
      <alignment vertical="top"/>
    </xf>
    <xf numFmtId="166" fontId="6" fillId="19" borderId="3" xfId="3" applyNumberFormat="1" applyFont="1" applyFill="1" applyBorder="1" applyAlignment="1">
      <alignment horizontal="right" vertical="top"/>
    </xf>
    <xf numFmtId="166" fontId="6" fillId="20" borderId="3" xfId="3" applyNumberFormat="1" applyFont="1" applyFill="1" applyBorder="1" applyAlignment="1">
      <alignment horizontal="right" vertical="top"/>
    </xf>
    <xf numFmtId="166" fontId="7" fillId="8" borderId="3" xfId="3" applyNumberFormat="1" applyFont="1" applyFill="1" applyBorder="1" applyAlignment="1">
      <alignment horizontal="right" vertical="top"/>
    </xf>
    <xf numFmtId="0" fontId="6" fillId="26" borderId="3" xfId="0" applyFont="1" applyFill="1" applyBorder="1">
      <alignment vertical="top"/>
    </xf>
    <xf numFmtId="0" fontId="7" fillId="26" borderId="3" xfId="0" applyFont="1" applyFill="1" applyBorder="1" applyAlignment="1">
      <alignment horizontal="left" vertical="top" wrapText="1"/>
    </xf>
    <xf numFmtId="164" fontId="6" fillId="26" borderId="3" xfId="3" applyFont="1" applyFill="1" applyBorder="1" applyAlignment="1" applyProtection="1">
      <alignment horizontal="right" vertical="top"/>
    </xf>
    <xf numFmtId="0" fontId="6" fillId="6" borderId="3" xfId="0" applyFont="1" applyFill="1" applyBorder="1" applyAlignment="1">
      <alignment horizontal="left" vertical="top" wrapText="1"/>
    </xf>
    <xf numFmtId="164" fontId="7" fillId="8" borderId="3" xfId="3" applyFont="1" applyFill="1" applyBorder="1" applyAlignment="1">
      <alignment vertical="top"/>
    </xf>
    <xf numFmtId="166" fontId="6" fillId="26" borderId="3" xfId="3" applyNumberFormat="1" applyFont="1" applyFill="1" applyBorder="1" applyAlignment="1" applyProtection="1">
      <alignment horizontal="right" vertical="top"/>
    </xf>
    <xf numFmtId="166" fontId="7" fillId="8" borderId="3" xfId="3" applyNumberFormat="1" applyFont="1" applyFill="1" applyBorder="1" applyAlignment="1">
      <alignment vertical="top"/>
    </xf>
    <xf numFmtId="164" fontId="4" fillId="11" borderId="0" xfId="0" applyNumberFormat="1" applyFont="1" applyFill="1">
      <alignment vertical="top"/>
    </xf>
    <xf numFmtId="0" fontId="6" fillId="26" borderId="3" xfId="0" applyFont="1" applyFill="1" applyBorder="1" applyAlignment="1">
      <alignment vertical="top" wrapText="1"/>
    </xf>
    <xf numFmtId="164" fontId="6" fillId="19" borderId="3" xfId="3" applyFont="1" applyFill="1" applyBorder="1" applyAlignment="1" applyProtection="1">
      <alignment vertical="top"/>
    </xf>
    <xf numFmtId="3" fontId="7" fillId="0" borderId="0" xfId="0" applyNumberFormat="1" applyFont="1">
      <alignment vertical="top"/>
    </xf>
    <xf numFmtId="166" fontId="6" fillId="19" borderId="3" xfId="3" applyNumberFormat="1" applyFont="1" applyFill="1" applyBorder="1" applyAlignment="1" applyProtection="1">
      <alignment vertical="top"/>
    </xf>
    <xf numFmtId="0" fontId="7" fillId="8" borderId="3" xfId="0" applyFont="1" applyFill="1" applyBorder="1" applyAlignment="1">
      <alignment vertical="top" wrapText="1"/>
    </xf>
    <xf numFmtId="164" fontId="7" fillId="0" borderId="6" xfId="3" applyFont="1" applyBorder="1" applyAlignment="1">
      <alignment horizontal="right" vertical="top"/>
    </xf>
    <xf numFmtId="0" fontId="7" fillId="0" borderId="3" xfId="0" applyFont="1" applyBorder="1" applyAlignment="1">
      <alignment horizontal="left" vertical="top"/>
    </xf>
    <xf numFmtId="164" fontId="7" fillId="0" borderId="3" xfId="3" applyFont="1" applyBorder="1" applyAlignment="1">
      <alignment horizontal="left" vertical="top" wrapText="1"/>
    </xf>
    <xf numFmtId="37" fontId="7" fillId="0" borderId="0" xfId="0" applyNumberFormat="1" applyFont="1" applyAlignment="1">
      <alignment horizontal="center" vertical="top"/>
    </xf>
    <xf numFmtId="37" fontId="7" fillId="0" borderId="0" xfId="0" applyNumberFormat="1" applyFont="1">
      <alignment vertical="top"/>
    </xf>
    <xf numFmtId="164" fontId="12" fillId="0" borderId="0" xfId="3" applyFont="1" applyBorder="1" applyAlignment="1">
      <alignment vertical="top"/>
    </xf>
    <xf numFmtId="37" fontId="1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64" fontId="4" fillId="0" borderId="0" xfId="3" applyFont="1" applyBorder="1" applyAlignment="1">
      <alignment horizontal="left" vertical="top"/>
    </xf>
    <xf numFmtId="167" fontId="4" fillId="0" borderId="0" xfId="1" applyNumberFormat="1" applyFont="1" applyBorder="1" applyAlignment="1" applyProtection="1">
      <alignment horizontal="left" vertical="top"/>
    </xf>
    <xf numFmtId="164" fontId="4" fillId="0" borderId="0" xfId="3" applyFont="1" applyBorder="1" applyAlignment="1" applyProtection="1">
      <alignment horizontal="left" vertical="top"/>
    </xf>
    <xf numFmtId="164" fontId="4" fillId="0" borderId="0" xfId="3" applyFont="1" applyAlignment="1">
      <alignment horizontal="left" vertical="top"/>
    </xf>
    <xf numFmtId="0" fontId="14" fillId="27" borderId="0" xfId="0" applyFont="1" applyFill="1" applyAlignment="1">
      <alignment vertical="center" readingOrder="1"/>
    </xf>
    <xf numFmtId="0" fontId="15" fillId="0" borderId="0" xfId="0" applyFont="1" applyAlignment="1">
      <alignment horizontal="center" vertical="center" readingOrder="1"/>
    </xf>
    <xf numFmtId="0" fontId="15" fillId="2" borderId="0" xfId="0" applyFont="1" applyFill="1" applyAlignment="1">
      <alignment vertical="center" readingOrder="1"/>
    </xf>
    <xf numFmtId="0" fontId="15" fillId="28" borderId="0" xfId="0" applyFont="1" applyFill="1" applyAlignment="1">
      <alignment vertical="center" readingOrder="1"/>
    </xf>
    <xf numFmtId="0" fontId="15" fillId="0" borderId="0" xfId="0" applyFont="1" applyAlignment="1">
      <alignment vertical="center" readingOrder="1"/>
    </xf>
    <xf numFmtId="0" fontId="15" fillId="9" borderId="0" xfId="0" applyFont="1" applyFill="1" applyAlignment="1">
      <alignment vertical="center" readingOrder="1"/>
    </xf>
    <xf numFmtId="0" fontId="15" fillId="29" borderId="0" xfId="0" applyFont="1" applyFill="1" applyAlignment="1">
      <alignment vertical="center" readingOrder="1"/>
    </xf>
    <xf numFmtId="0" fontId="15" fillId="30" borderId="0" xfId="0" applyFont="1" applyFill="1" applyAlignment="1">
      <alignment vertical="center" readingOrder="1"/>
    </xf>
    <xf numFmtId="0" fontId="15" fillId="30" borderId="0" xfId="0" applyFont="1" applyFill="1" applyAlignment="1">
      <alignment vertical="top" readingOrder="1"/>
    </xf>
    <xf numFmtId="0" fontId="15" fillId="0" borderId="0" xfId="0" applyFont="1">
      <alignment vertical="top"/>
    </xf>
    <xf numFmtId="164" fontId="15" fillId="0" borderId="0" xfId="3" applyFont="1" applyAlignment="1">
      <alignment readingOrder="1"/>
    </xf>
    <xf numFmtId="166" fontId="15" fillId="0" borderId="0" xfId="3" applyNumberFormat="1" applyFont="1" applyAlignment="1">
      <alignment vertical="center" readingOrder="1"/>
    </xf>
    <xf numFmtId="164" fontId="15" fillId="0" borderId="0" xfId="3" applyFont="1" applyBorder="1" applyAlignment="1">
      <alignment readingOrder="1"/>
    </xf>
    <xf numFmtId="0" fontId="15" fillId="0" borderId="1" xfId="0" applyFont="1" applyBorder="1">
      <alignment vertical="top"/>
    </xf>
    <xf numFmtId="166" fontId="15" fillId="0" borderId="0" xfId="3" applyNumberFormat="1" applyFont="1" applyBorder="1" applyAlignment="1">
      <alignment readingOrder="1"/>
    </xf>
    <xf numFmtId="164" fontId="18" fillId="31" borderId="8" xfId="3" applyFont="1" applyFill="1" applyBorder="1" applyAlignment="1">
      <alignment horizontal="center" vertical="center" wrapText="1" readingOrder="1"/>
    </xf>
    <xf numFmtId="0" fontId="19" fillId="17" borderId="6" xfId="0" applyFont="1" applyFill="1" applyBorder="1" applyAlignment="1">
      <alignment horizontal="center" vertical="center" wrapText="1" readingOrder="1"/>
    </xf>
    <xf numFmtId="0" fontId="16" fillId="32" borderId="8" xfId="0" applyFont="1" applyFill="1" applyBorder="1" applyAlignment="1">
      <alignment horizontal="left" vertical="center" readingOrder="1"/>
    </xf>
    <xf numFmtId="164" fontId="16" fillId="32" borderId="8" xfId="3" applyFont="1" applyFill="1" applyBorder="1" applyAlignment="1">
      <alignment horizontal="center" vertical="center" readingOrder="1"/>
    </xf>
    <xf numFmtId="0" fontId="19" fillId="18" borderId="6" xfId="0" applyFont="1" applyFill="1" applyBorder="1" applyAlignment="1">
      <alignment horizontal="left" vertical="center" wrapText="1" readingOrder="1"/>
    </xf>
    <xf numFmtId="0" fontId="16" fillId="33" borderId="8" xfId="0" applyFont="1" applyFill="1" applyBorder="1" applyAlignment="1">
      <alignment vertical="center" readingOrder="1"/>
    </xf>
    <xf numFmtId="164" fontId="16" fillId="33" borderId="8" xfId="3" applyFont="1" applyFill="1" applyBorder="1" applyAlignment="1">
      <alignment vertical="center" readingOrder="1"/>
    </xf>
    <xf numFmtId="0" fontId="19" fillId="23" borderId="6" xfId="0" applyFont="1" applyFill="1" applyBorder="1" applyAlignment="1">
      <alignment horizontal="left" vertical="center" wrapText="1" readingOrder="1"/>
    </xf>
    <xf numFmtId="0" fontId="19" fillId="34" borderId="6" xfId="0" applyFont="1" applyFill="1" applyBorder="1" applyAlignment="1">
      <alignment horizontal="left" vertical="center" wrapText="1" readingOrder="1"/>
    </xf>
    <xf numFmtId="0" fontId="16" fillId="29" borderId="8" xfId="0" applyFont="1" applyFill="1" applyBorder="1" applyAlignment="1">
      <alignment vertical="center" readingOrder="1"/>
    </xf>
    <xf numFmtId="164" fontId="16" fillId="29" borderId="8" xfId="3" applyFont="1" applyFill="1" applyBorder="1" applyAlignment="1">
      <alignment vertical="center" readingOrder="1"/>
    </xf>
    <xf numFmtId="0" fontId="15" fillId="9" borderId="6" xfId="0" applyFont="1" applyFill="1" applyBorder="1" applyAlignment="1">
      <alignment vertical="center" readingOrder="1"/>
    </xf>
    <xf numFmtId="0" fontId="16" fillId="35" borderId="8" xfId="0" applyFont="1" applyFill="1" applyBorder="1" applyAlignment="1">
      <alignment vertical="center" wrapText="1" readingOrder="1"/>
    </xf>
    <xf numFmtId="164" fontId="16" fillId="35" borderId="8" xfId="3" applyFont="1" applyFill="1" applyBorder="1" applyAlignment="1">
      <alignment vertical="center" wrapText="1" readingOrder="1"/>
    </xf>
    <xf numFmtId="0" fontId="19" fillId="29" borderId="6" xfId="0" applyFont="1" applyFill="1" applyBorder="1" applyAlignment="1">
      <alignment vertical="center" readingOrder="1"/>
    </xf>
    <xf numFmtId="0" fontId="16" fillId="29" borderId="8" xfId="0" applyFont="1" applyFill="1" applyBorder="1" applyAlignment="1">
      <alignment vertical="center" wrapText="1" readingOrder="1"/>
    </xf>
    <xf numFmtId="164" fontId="16" fillId="29" borderId="8" xfId="3" applyFont="1" applyFill="1" applyBorder="1" applyAlignment="1">
      <alignment vertical="center" wrapText="1" readingOrder="1"/>
    </xf>
    <xf numFmtId="0" fontId="15" fillId="29" borderId="6" xfId="0" applyFont="1" applyFill="1" applyBorder="1" applyAlignment="1">
      <alignment vertical="center" readingOrder="1"/>
    </xf>
    <xf numFmtId="164" fontId="16" fillId="29" borderId="8" xfId="3" applyFont="1" applyFill="1" applyBorder="1" applyAlignment="1">
      <alignment horizontal="right" vertical="center" readingOrder="1"/>
    </xf>
    <xf numFmtId="0" fontId="16" fillId="29" borderId="8" xfId="0" applyFont="1" applyFill="1" applyBorder="1" applyAlignment="1">
      <alignment horizontal="left" vertical="center" readingOrder="1"/>
    </xf>
    <xf numFmtId="0" fontId="15" fillId="36" borderId="6" xfId="0" applyFont="1" applyFill="1" applyBorder="1" applyAlignment="1">
      <alignment horizontal="left" vertical="center" wrapText="1" readingOrder="1"/>
    </xf>
    <xf numFmtId="164" fontId="16" fillId="29" borderId="8" xfId="3" applyFont="1" applyFill="1" applyBorder="1" applyAlignment="1" applyProtection="1">
      <alignment horizontal="right" vertical="center" readingOrder="1"/>
    </xf>
    <xf numFmtId="0" fontId="15" fillId="36" borderId="6" xfId="0" applyFont="1" applyFill="1" applyBorder="1" applyAlignment="1">
      <alignment horizontal="left" vertical="top" wrapText="1" readingOrder="1"/>
    </xf>
    <xf numFmtId="0" fontId="16" fillId="29" borderId="8" xfId="0" applyFont="1" applyFill="1" applyBorder="1" applyAlignment="1">
      <alignment vertical="top" wrapText="1" readingOrder="1"/>
    </xf>
    <xf numFmtId="164" fontId="16" fillId="29" borderId="8" xfId="3" applyFont="1" applyFill="1" applyBorder="1" applyAlignment="1" applyProtection="1">
      <alignment horizontal="right" vertical="top" readingOrder="1"/>
    </xf>
    <xf numFmtId="0" fontId="15" fillId="0" borderId="0" xfId="0" applyFont="1" applyAlignment="1">
      <alignment horizontal="left" vertical="top"/>
    </xf>
    <xf numFmtId="164" fontId="15" fillId="0" borderId="0" xfId="3" applyFont="1" applyBorder="1" applyAlignment="1">
      <alignment horizontal="left" readingOrder="1"/>
    </xf>
    <xf numFmtId="167" fontId="15" fillId="0" borderId="0" xfId="1" applyNumberFormat="1" applyFont="1" applyBorder="1" applyAlignment="1" applyProtection="1">
      <alignment horizontal="right" vertical="top"/>
    </xf>
    <xf numFmtId="164" fontId="19" fillId="0" borderId="0" xfId="3" applyFont="1" applyBorder="1" applyAlignment="1" applyProtection="1">
      <alignment horizontal="center" readingOrder="1"/>
    </xf>
    <xf numFmtId="0" fontId="15" fillId="0" borderId="0" xfId="0" applyFont="1" applyAlignment="1">
      <alignment horizontal="right" vertical="top"/>
    </xf>
    <xf numFmtId="166" fontId="15" fillId="0" borderId="0" xfId="3" applyNumberFormat="1" applyFont="1" applyBorder="1" applyAlignment="1">
      <alignment vertical="center" readingOrder="1"/>
    </xf>
    <xf numFmtId="164" fontId="20" fillId="27" borderId="0" xfId="0" applyNumberFormat="1" applyFont="1" applyFill="1" applyAlignment="1">
      <alignment vertical="center" readingOrder="1"/>
    </xf>
    <xf numFmtId="166" fontId="18" fillId="31" borderId="8" xfId="3" applyNumberFormat="1" applyFont="1" applyFill="1" applyBorder="1" applyAlignment="1">
      <alignment vertical="center" wrapText="1" readingOrder="1"/>
    </xf>
    <xf numFmtId="164" fontId="18" fillId="31" borderId="8" xfId="3" applyFont="1" applyFill="1" applyBorder="1" applyAlignment="1">
      <alignment vertical="center" wrapText="1" readingOrder="1"/>
    </xf>
    <xf numFmtId="0" fontId="20" fillId="27" borderId="0" xfId="0" applyFont="1" applyFill="1" applyAlignment="1">
      <alignment vertical="center" readingOrder="1"/>
    </xf>
    <xf numFmtId="166" fontId="16" fillId="32" borderId="8" xfId="3" applyNumberFormat="1" applyFont="1" applyFill="1" applyBorder="1" applyAlignment="1">
      <alignment horizontal="center" vertical="center" readingOrder="1"/>
    </xf>
    <xf numFmtId="164" fontId="15" fillId="0" borderId="0" xfId="0" applyNumberFormat="1" applyFont="1" applyAlignment="1">
      <alignment horizontal="center" vertical="center" readingOrder="1"/>
    </xf>
    <xf numFmtId="166" fontId="16" fillId="33" borderId="8" xfId="3" applyNumberFormat="1" applyFont="1" applyFill="1" applyBorder="1" applyAlignment="1">
      <alignment vertical="center" readingOrder="1"/>
    </xf>
    <xf numFmtId="164" fontId="15" fillId="2" borderId="0" xfId="0" applyNumberFormat="1" applyFont="1" applyFill="1" applyAlignment="1">
      <alignment vertical="center" readingOrder="1"/>
    </xf>
    <xf numFmtId="164" fontId="19" fillId="0" borderId="0" xfId="3" applyFont="1" applyBorder="1" applyAlignment="1">
      <alignment horizontal="left" vertical="center" wrapText="1" readingOrder="1"/>
    </xf>
    <xf numFmtId="166" fontId="16" fillId="29" borderId="8" xfId="3" applyNumberFormat="1" applyFont="1" applyFill="1" applyBorder="1" applyAlignment="1">
      <alignment vertical="center" readingOrder="1"/>
    </xf>
    <xf numFmtId="166" fontId="16" fillId="35" borderId="8" xfId="3" applyNumberFormat="1" applyFont="1" applyFill="1" applyBorder="1" applyAlignment="1">
      <alignment vertical="center" wrapText="1" readingOrder="1"/>
    </xf>
    <xf numFmtId="166" fontId="16" fillId="29" borderId="8" xfId="3" applyNumberFormat="1" applyFont="1" applyFill="1" applyBorder="1" applyAlignment="1">
      <alignment vertical="center" wrapText="1" readingOrder="1"/>
    </xf>
    <xf numFmtId="166" fontId="16" fillId="29" borderId="8" xfId="3" applyNumberFormat="1" applyFont="1" applyFill="1" applyBorder="1" applyAlignment="1">
      <alignment horizontal="right" vertical="center" readingOrder="1"/>
    </xf>
    <xf numFmtId="164" fontId="15" fillId="29" borderId="0" xfId="0" applyNumberFormat="1" applyFont="1" applyFill="1" applyAlignment="1">
      <alignment vertical="center" readingOrder="1"/>
    </xf>
    <xf numFmtId="166" fontId="16" fillId="29" borderId="8" xfId="3" applyNumberFormat="1" applyFont="1" applyFill="1" applyBorder="1" applyAlignment="1" applyProtection="1">
      <alignment horizontal="right" vertical="center" readingOrder="1"/>
    </xf>
    <xf numFmtId="164" fontId="15" fillId="30" borderId="0" xfId="0" applyNumberFormat="1" applyFont="1" applyFill="1" applyAlignment="1">
      <alignment vertical="center" readingOrder="1"/>
    </xf>
    <xf numFmtId="166" fontId="16" fillId="29" borderId="8" xfId="3" applyNumberFormat="1" applyFont="1" applyFill="1" applyBorder="1" applyAlignment="1" applyProtection="1">
      <alignment horizontal="right" vertical="top" readingOrder="1"/>
    </xf>
    <xf numFmtId="165" fontId="23" fillId="0" borderId="0" xfId="1">
      <alignment vertical="top"/>
    </xf>
    <xf numFmtId="37" fontId="7" fillId="0" borderId="0" xfId="0" applyNumberFormat="1" applyFont="1" applyAlignment="1">
      <alignment horizontal="center" vertical="top"/>
    </xf>
    <xf numFmtId="164" fontId="8" fillId="16" borderId="3" xfId="3" applyFont="1" applyFill="1" applyBorder="1" applyAlignment="1">
      <alignment horizontal="center" vertical="center" wrapText="1" readingOrder="1"/>
    </xf>
    <xf numFmtId="37" fontId="13" fillId="0" borderId="0" xfId="0" applyNumberFormat="1" applyFont="1" applyAlignment="1">
      <alignment horizontal="center" vertical="top"/>
    </xf>
    <xf numFmtId="0" fontId="4" fillId="0" borderId="0" xfId="0" applyFont="1" applyBorder="1">
      <alignment vertical="top"/>
    </xf>
    <xf numFmtId="164" fontId="18" fillId="31" borderId="8" xfId="3" applyFont="1" applyFill="1" applyBorder="1" applyAlignment="1">
      <alignment horizontal="center" vertical="center" wrapText="1" readingOrder="1"/>
    </xf>
    <xf numFmtId="164" fontId="8" fillId="16" borderId="3" xfId="3" applyFont="1" applyFill="1" applyBorder="1" applyAlignment="1">
      <alignment horizontal="center" vertical="center" wrapText="1" readingOrder="1"/>
    </xf>
    <xf numFmtId="166" fontId="8" fillId="16" borderId="3" xfId="3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>
      <alignment vertical="top"/>
    </xf>
    <xf numFmtId="164" fontId="4" fillId="4" borderId="0" xfId="0" applyNumberFormat="1" applyFont="1" applyFill="1">
      <alignment vertical="top"/>
    </xf>
    <xf numFmtId="164" fontId="7" fillId="3" borderId="0" xfId="0" applyNumberFormat="1" applyFont="1" applyFill="1">
      <alignment vertical="top"/>
    </xf>
    <xf numFmtId="167" fontId="23" fillId="0" borderId="0" xfId="1" applyNumberFormat="1">
      <alignment vertical="top"/>
    </xf>
    <xf numFmtId="0" fontId="15" fillId="37" borderId="0" xfId="0" applyFont="1" applyFill="1">
      <alignment vertical="top"/>
    </xf>
    <xf numFmtId="0" fontId="16" fillId="0" borderId="0" xfId="0" applyFont="1">
      <alignment vertical="top"/>
    </xf>
    <xf numFmtId="0" fontId="15" fillId="9" borderId="0" xfId="0" applyFont="1" applyFill="1">
      <alignment vertical="top"/>
    </xf>
    <xf numFmtId="0" fontId="15" fillId="27" borderId="0" xfId="0" applyFont="1" applyFill="1">
      <alignment vertical="top"/>
    </xf>
    <xf numFmtId="164" fontId="16" fillId="32" borderId="8" xfId="3" applyNumberFormat="1" applyFont="1" applyFill="1" applyBorder="1" applyAlignment="1">
      <alignment horizontal="center" vertical="center" readingOrder="1"/>
    </xf>
    <xf numFmtId="164" fontId="16" fillId="33" borderId="8" xfId="3" applyNumberFormat="1" applyFont="1" applyFill="1" applyBorder="1" applyAlignment="1">
      <alignment vertical="center" readingOrder="1"/>
    </xf>
    <xf numFmtId="164" fontId="16" fillId="29" borderId="8" xfId="3" applyNumberFormat="1" applyFont="1" applyFill="1" applyBorder="1" applyAlignment="1">
      <alignment vertical="center" readingOrder="1"/>
    </xf>
    <xf numFmtId="164" fontId="16" fillId="35" borderId="8" xfId="3" applyNumberFormat="1" applyFont="1" applyFill="1" applyBorder="1" applyAlignment="1">
      <alignment vertical="center" wrapText="1" readingOrder="1"/>
    </xf>
    <xf numFmtId="164" fontId="16" fillId="29" borderId="8" xfId="3" applyNumberFormat="1" applyFont="1" applyFill="1" applyBorder="1" applyAlignment="1">
      <alignment vertical="center" wrapText="1" readingOrder="1"/>
    </xf>
    <xf numFmtId="164" fontId="16" fillId="29" borderId="8" xfId="3" applyNumberFormat="1" applyFont="1" applyFill="1" applyBorder="1" applyAlignment="1">
      <alignment horizontal="right" vertical="center" readingOrder="1"/>
    </xf>
    <xf numFmtId="164" fontId="16" fillId="29" borderId="8" xfId="3" applyNumberFormat="1" applyFont="1" applyFill="1" applyBorder="1" applyAlignment="1" applyProtection="1">
      <alignment horizontal="right" vertical="center" readingOrder="1"/>
    </xf>
    <xf numFmtId="164" fontId="16" fillId="29" borderId="8" xfId="3" applyNumberFormat="1" applyFont="1" applyFill="1" applyBorder="1" applyAlignment="1" applyProtection="1">
      <alignment horizontal="right" vertical="top" readingOrder="1"/>
    </xf>
    <xf numFmtId="167" fontId="4" fillId="3" borderId="0" xfId="0" applyNumberFormat="1" applyFont="1" applyFill="1">
      <alignment vertical="top"/>
    </xf>
    <xf numFmtId="167" fontId="24" fillId="0" borderId="0" xfId="1" applyNumberFormat="1" applyFont="1">
      <alignment vertical="top"/>
    </xf>
    <xf numFmtId="166" fontId="16" fillId="38" borderId="8" xfId="3" applyNumberFormat="1" applyFont="1" applyFill="1" applyBorder="1" applyAlignment="1">
      <alignment vertical="center" readingOrder="1"/>
    </xf>
    <xf numFmtId="10" fontId="15" fillId="0" borderId="0" xfId="6" applyNumberFormat="1" applyFont="1" applyAlignment="1">
      <alignment horizontal="center" vertical="center" readingOrder="1"/>
    </xf>
    <xf numFmtId="164" fontId="1" fillId="0" borderId="3" xfId="2" applyFont="1" applyFill="1" applyBorder="1" applyAlignment="1">
      <alignment vertical="top"/>
    </xf>
    <xf numFmtId="164" fontId="18" fillId="31" borderId="8" xfId="3" applyFont="1" applyFill="1" applyBorder="1" applyAlignment="1">
      <alignment horizontal="center" vertical="center" wrapText="1" readingOrder="1"/>
    </xf>
    <xf numFmtId="166" fontId="16" fillId="35" borderId="8" xfId="3" applyNumberFormat="1" applyFont="1" applyFill="1" applyBorder="1" applyAlignment="1">
      <alignment vertical="center" readingOrder="1"/>
    </xf>
    <xf numFmtId="164" fontId="7" fillId="0" borderId="3" xfId="3" applyNumberFormat="1" applyFont="1" applyBorder="1" applyAlignment="1">
      <alignment vertical="top"/>
    </xf>
    <xf numFmtId="0" fontId="16" fillId="0" borderId="0" xfId="0" applyFont="1" applyAlignment="1">
      <alignment horizontal="center" vertical="top" wrapText="1" readingOrder="1"/>
    </xf>
    <xf numFmtId="164" fontId="18" fillId="31" borderId="8" xfId="3" applyFont="1" applyFill="1" applyBorder="1" applyAlignment="1">
      <alignment horizontal="center" vertical="center" wrapText="1" readingOrder="1"/>
    </xf>
    <xf numFmtId="166" fontId="18" fillId="31" borderId="8" xfId="3" applyNumberFormat="1" applyFont="1" applyFill="1" applyBorder="1" applyAlignment="1">
      <alignment horizontal="center" vertical="center" wrapText="1" readingOrder="1"/>
    </xf>
    <xf numFmtId="0" fontId="17" fillId="31" borderId="7" xfId="0" applyFont="1" applyFill="1" applyBorder="1" applyAlignment="1">
      <alignment horizontal="center" vertical="center" wrapText="1" readingOrder="1"/>
    </xf>
    <xf numFmtId="0" fontId="17" fillId="31" borderId="9" xfId="0" applyFont="1" applyFill="1" applyBorder="1" applyAlignment="1">
      <alignment horizontal="center" vertical="center" wrapText="1" readingOrder="1"/>
    </xf>
    <xf numFmtId="0" fontId="18" fillId="31" borderId="8" xfId="0" applyFont="1" applyFill="1" applyBorder="1" applyAlignment="1">
      <alignment horizontal="center" vertical="center" wrapText="1" readingOrder="1"/>
    </xf>
    <xf numFmtId="164" fontId="18" fillId="31" borderId="10" xfId="3" applyFont="1" applyFill="1" applyBorder="1" applyAlignment="1">
      <alignment horizontal="center" vertical="center" wrapText="1" readingOrder="1"/>
    </xf>
    <xf numFmtId="164" fontId="18" fillId="31" borderId="11" xfId="3" applyFont="1" applyFill="1" applyBorder="1" applyAlignment="1">
      <alignment horizontal="center" vertical="center" wrapText="1" readingOrder="1"/>
    </xf>
    <xf numFmtId="166" fontId="18" fillId="31" borderId="10" xfId="3" applyNumberFormat="1" applyFont="1" applyFill="1" applyBorder="1" applyAlignment="1">
      <alignment horizontal="center" vertical="center" wrapText="1" readingOrder="1"/>
    </xf>
    <xf numFmtId="166" fontId="18" fillId="31" borderId="11" xfId="3" applyNumberFormat="1" applyFont="1" applyFill="1" applyBorder="1" applyAlignment="1">
      <alignment horizontal="center" vertical="center" wrapText="1" readingOrder="1"/>
    </xf>
    <xf numFmtId="37" fontId="7" fillId="0" borderId="0" xfId="0" applyNumberFormat="1" applyFont="1" applyAlignment="1">
      <alignment horizontal="center" vertical="top"/>
    </xf>
    <xf numFmtId="0" fontId="8" fillId="16" borderId="2" xfId="0" applyFont="1" applyFill="1" applyBorder="1" applyAlignment="1">
      <alignment horizontal="center" vertical="center" wrapText="1" readingOrder="1"/>
    </xf>
    <xf numFmtId="0" fontId="8" fillId="16" borderId="4" xfId="0" applyFont="1" applyFill="1" applyBorder="1" applyAlignment="1">
      <alignment horizontal="center" vertical="center" wrapText="1" readingOrder="1"/>
    </xf>
    <xf numFmtId="0" fontId="8" fillId="16" borderId="5" xfId="0" applyFont="1" applyFill="1" applyBorder="1" applyAlignment="1">
      <alignment horizontal="center" vertical="center" wrapText="1" readingOrder="1"/>
    </xf>
    <xf numFmtId="0" fontId="8" fillId="16" borderId="3" xfId="0" applyFont="1" applyFill="1" applyBorder="1" applyAlignment="1">
      <alignment horizontal="center" vertical="center" wrapText="1" readingOrder="1"/>
    </xf>
    <xf numFmtId="164" fontId="8" fillId="16" borderId="3" xfId="3" applyFont="1" applyFill="1" applyBorder="1" applyAlignment="1">
      <alignment horizontal="center" vertical="center" wrapText="1" readingOrder="1"/>
    </xf>
    <xf numFmtId="37" fontId="13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 wrapText="1" readingOrder="1"/>
    </xf>
    <xf numFmtId="166" fontId="8" fillId="16" borderId="3" xfId="3" applyNumberFormat="1" applyFont="1" applyFill="1" applyBorder="1" applyAlignment="1">
      <alignment horizontal="center" vertical="center" wrapText="1" readingOrder="1"/>
    </xf>
    <xf numFmtId="164" fontId="8" fillId="16" borderId="2" xfId="3" applyFont="1" applyFill="1" applyBorder="1" applyAlignment="1">
      <alignment horizontal="center" vertical="center" wrapText="1" readingOrder="1"/>
    </xf>
    <xf numFmtId="164" fontId="8" fillId="16" borderId="5" xfId="3" applyFont="1" applyFill="1" applyBorder="1" applyAlignment="1">
      <alignment horizontal="center" vertical="center" wrapText="1" readingOrder="1"/>
    </xf>
  </cellXfs>
  <cellStyles count="7">
    <cellStyle name="Comma" xfId="1" builtinId="3"/>
    <cellStyle name="Comma [0]" xfId="2" builtinId="6"/>
    <cellStyle name="Comma [0] 4" xfId="3" xr:uid="{00000000-0005-0000-0000-000002000000}"/>
    <cellStyle name="Normal" xfId="0" builtinId="0"/>
    <cellStyle name="Normal 2" xfId="4" xr:uid="{00000000-0005-0000-0000-000004000000}"/>
    <cellStyle name="Normal 3 2" xfId="5" xr:uid="{37408A02-06BB-4A5F-BE00-C6DB08EFD3E1}"/>
    <cellStyle name="Percent" xfId="6" builtinId="5"/>
  </cellStyles>
  <dxfs count="0"/>
  <tableStyles count="0" defaultTableStyle="TableStyleMedium2" defaultPivotStyle="PivotStyleLight16"/>
  <colors>
    <mruColors>
      <color rgb="FF666633"/>
      <color rgb="FFFF7C80"/>
      <color rgb="FFFF9933"/>
      <color rgb="FFCC99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405774</xdr:colOff>
      <xdr:row>0</xdr:row>
      <xdr:rowOff>72553</xdr:rowOff>
    </xdr:from>
    <xdr:ext cx="832476" cy="820416"/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78475" y="72390"/>
          <a:ext cx="832485" cy="820420"/>
        </a:xfrm>
        <a:prstGeom prst="rect">
          <a:avLst/>
        </a:prstGeom>
        <a:ln w="9525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386496</xdr:colOff>
      <xdr:row>0</xdr:row>
      <xdr:rowOff>84462</xdr:rowOff>
    </xdr:from>
    <xdr:to>
      <xdr:col>5</xdr:col>
      <xdr:colOff>1000126</xdr:colOff>
      <xdr:row>3</xdr:row>
      <xdr:rowOff>38101</xdr:rowOff>
    </xdr:to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7520" y="84455"/>
          <a:ext cx="614045" cy="668020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31"/>
  <sheetViews>
    <sheetView showOutlineSymbols="0" topLeftCell="B1" zoomScale="70" zoomScaleNormal="70" zoomScaleSheetLayoutView="70" zoomScalePageLayoutView="40" workbookViewId="0">
      <selection activeCell="H16" sqref="H16:H22"/>
    </sheetView>
  </sheetViews>
  <sheetFormatPr defaultColWidth="6.85546875" defaultRowHeight="15"/>
  <cols>
    <col min="1" max="1" width="26.42578125" style="168" hidden="1" customWidth="1"/>
    <col min="2" max="2" width="75.42578125" style="168" customWidth="1"/>
    <col min="3" max="3" width="28.28515625" style="169" hidden="1" customWidth="1"/>
    <col min="4" max="5" width="25.85546875" style="169" hidden="1" customWidth="1"/>
    <col min="6" max="6" width="27.28515625" style="169" hidden="1" customWidth="1"/>
    <col min="7" max="7" width="27.28515625" style="169" customWidth="1"/>
    <col min="8" max="8" width="29.140625" style="169" customWidth="1"/>
    <col min="9" max="9" width="29.140625" style="169" hidden="1" customWidth="1"/>
    <col min="10" max="10" width="27.28515625" style="169" hidden="1" customWidth="1"/>
    <col min="11" max="11" width="25.7109375" style="169" hidden="1" customWidth="1"/>
    <col min="12" max="12" width="2.140625" style="169" hidden="1" customWidth="1"/>
    <col min="13" max="13" width="33.28515625" style="169" customWidth="1"/>
    <col min="14" max="16" width="12.42578125" style="170" hidden="1" customWidth="1"/>
    <col min="17" max="17" width="12.42578125" style="170" customWidth="1"/>
    <col min="18" max="18" width="14.5703125" style="170" hidden="1" customWidth="1"/>
    <col min="19" max="19" width="14.42578125" style="170" customWidth="1"/>
    <col min="20" max="20" width="12.42578125" style="170" hidden="1" customWidth="1"/>
    <col min="21" max="21" width="30.28515625" style="170" customWidth="1"/>
    <col min="22" max="22" width="34" style="170" hidden="1" customWidth="1"/>
    <col min="23" max="23" width="28" style="169" customWidth="1"/>
    <col min="24" max="24" width="21" style="168" customWidth="1"/>
    <col min="25" max="25" width="19.7109375" style="168" customWidth="1"/>
    <col min="26" max="26" width="18.140625" style="168" customWidth="1"/>
    <col min="27" max="27" width="14" style="168" customWidth="1"/>
    <col min="28" max="28" width="14.28515625" style="168" customWidth="1"/>
    <col min="29" max="29" width="15.42578125" style="168" customWidth="1"/>
    <col min="30" max="30" width="15.28515625" style="168" customWidth="1"/>
    <col min="31" max="31" width="15" style="168" customWidth="1"/>
    <col min="32" max="32" width="15.28515625" style="168" customWidth="1"/>
    <col min="33" max="33" width="14.7109375" style="168" customWidth="1"/>
    <col min="34" max="34" width="14.28515625" style="168" customWidth="1"/>
    <col min="35" max="35" width="12.85546875" style="168" customWidth="1"/>
    <col min="36" max="37" width="17" style="168" customWidth="1"/>
    <col min="38" max="38" width="14" style="168" customWidth="1"/>
    <col min="39" max="39" width="14.28515625" style="168" customWidth="1"/>
    <col min="40" max="40" width="15.28515625" style="168" customWidth="1"/>
    <col min="41" max="41" width="14" style="168" customWidth="1"/>
    <col min="42" max="16384" width="6.85546875" style="168"/>
  </cols>
  <sheetData>
    <row r="1" spans="1:26" ht="18.75" customHeight="1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6" ht="18.75" customHeight="1">
      <c r="A2" s="254" t="s">
        <v>1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</row>
    <row r="3" spans="1:26" ht="18.75" customHeight="1">
      <c r="A3" s="254" t="str">
        <f>'Kendali Rekening'!A3:W3</f>
        <v>PER 02 SEPTEMBER 2024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</row>
    <row r="4" spans="1:26"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204"/>
      <c r="O4" s="204"/>
      <c r="P4" s="204"/>
      <c r="Q4" s="204"/>
      <c r="R4" s="204"/>
      <c r="S4" s="204"/>
      <c r="T4" s="204"/>
      <c r="U4" s="204"/>
      <c r="V4" s="204"/>
      <c r="W4" s="171"/>
    </row>
    <row r="5" spans="1:26">
      <c r="C5" s="171"/>
      <c r="D5" s="171"/>
      <c r="E5" s="171"/>
      <c r="F5" s="171"/>
      <c r="G5" s="171"/>
      <c r="W5" s="171"/>
    </row>
    <row r="6" spans="1:26" ht="15.75" thickBot="1">
      <c r="A6" s="172"/>
      <c r="C6" s="171"/>
      <c r="D6" s="171"/>
      <c r="E6" s="171"/>
      <c r="F6" s="171"/>
      <c r="G6" s="171"/>
      <c r="H6" s="171"/>
      <c r="I6" s="171"/>
      <c r="J6" s="173"/>
      <c r="K6" s="171"/>
      <c r="L6" s="171"/>
      <c r="M6" s="171"/>
      <c r="N6" s="204"/>
      <c r="O6" s="204"/>
      <c r="P6" s="204"/>
      <c r="Q6" s="204"/>
      <c r="R6" s="204"/>
      <c r="S6" s="204"/>
      <c r="T6" s="204"/>
      <c r="U6" s="204"/>
      <c r="V6" s="204"/>
      <c r="W6" s="171"/>
    </row>
    <row r="7" spans="1:26" s="159" customFormat="1" ht="24" customHeight="1" thickBot="1">
      <c r="A7" s="257" t="s">
        <v>2</v>
      </c>
      <c r="B7" s="259" t="s">
        <v>3</v>
      </c>
      <c r="C7" s="255" t="s">
        <v>515</v>
      </c>
      <c r="D7" s="255"/>
      <c r="E7" s="255"/>
      <c r="F7" s="255"/>
      <c r="G7" s="260" t="s">
        <v>335</v>
      </c>
      <c r="H7" s="260" t="s">
        <v>535</v>
      </c>
      <c r="I7" s="260" t="s">
        <v>522</v>
      </c>
      <c r="J7" s="255" t="s">
        <v>4</v>
      </c>
      <c r="K7" s="255"/>
      <c r="L7" s="255"/>
      <c r="M7" s="255"/>
      <c r="N7" s="256" t="s">
        <v>5</v>
      </c>
      <c r="O7" s="256"/>
      <c r="P7" s="256"/>
      <c r="Q7" s="256"/>
      <c r="R7" s="256"/>
      <c r="S7" s="256"/>
      <c r="T7" s="256"/>
      <c r="U7" s="262" t="s">
        <v>516</v>
      </c>
      <c r="V7" s="262" t="s">
        <v>516</v>
      </c>
      <c r="W7" s="255" t="s">
        <v>6</v>
      </c>
      <c r="X7" s="205"/>
    </row>
    <row r="8" spans="1:26" s="159" customFormat="1" ht="24" customHeight="1" thickBot="1">
      <c r="A8" s="258"/>
      <c r="B8" s="259"/>
      <c r="C8" s="174" t="s">
        <v>7</v>
      </c>
      <c r="D8" s="174" t="s">
        <v>8</v>
      </c>
      <c r="E8" s="227" t="s">
        <v>334</v>
      </c>
      <c r="F8" s="174" t="s">
        <v>9</v>
      </c>
      <c r="G8" s="261"/>
      <c r="H8" s="261"/>
      <c r="I8" s="261"/>
      <c r="J8" s="174" t="s">
        <v>7</v>
      </c>
      <c r="K8" s="174" t="s">
        <v>8</v>
      </c>
      <c r="L8" s="227" t="s">
        <v>334</v>
      </c>
      <c r="M8" s="174" t="s">
        <v>9</v>
      </c>
      <c r="N8" s="206" t="s">
        <v>7</v>
      </c>
      <c r="O8" s="207" t="s">
        <v>8</v>
      </c>
      <c r="P8" s="207" t="s">
        <v>334</v>
      </c>
      <c r="Q8" s="207" t="s">
        <v>518</v>
      </c>
      <c r="R8" s="207" t="s">
        <v>517</v>
      </c>
      <c r="S8" s="251" t="s">
        <v>523</v>
      </c>
      <c r="T8" s="206" t="s">
        <v>9</v>
      </c>
      <c r="U8" s="263"/>
      <c r="V8" s="263"/>
      <c r="W8" s="255"/>
      <c r="X8" s="208"/>
    </row>
    <row r="9" spans="1:26" s="160" customFormat="1" ht="19.5" customHeight="1" thickBot="1">
      <c r="A9" s="175" t="s">
        <v>10</v>
      </c>
      <c r="B9" s="176" t="s">
        <v>11</v>
      </c>
      <c r="C9" s="177">
        <f>'Kendali Rekening'!C13</f>
        <v>85508596971</v>
      </c>
      <c r="D9" s="177">
        <f>'Kendali Rekening'!D13</f>
        <v>4989929273</v>
      </c>
      <c r="E9" s="177">
        <f>'Kendali Rekening'!E13</f>
        <v>616605050</v>
      </c>
      <c r="F9" s="177">
        <f>'Kendali Rekening'!F13</f>
        <v>91115131294</v>
      </c>
      <c r="G9" s="177">
        <f>F9</f>
        <v>91115131294</v>
      </c>
      <c r="H9" s="177">
        <f>H10+H11</f>
        <v>79959363373</v>
      </c>
      <c r="I9" s="177">
        <f>I10+I11</f>
        <v>33460981867</v>
      </c>
      <c r="J9" s="177">
        <f>'Kendali Rekening'!O13</f>
        <v>36767719230.260002</v>
      </c>
      <c r="K9" s="177">
        <f>'Kendali Rekening'!P13</f>
        <v>2495545724</v>
      </c>
      <c r="L9" s="177">
        <f>'Kendali Rekening'!Q13</f>
        <v>127391350</v>
      </c>
      <c r="M9" s="209">
        <f>'Kendali Rekening'!R13</f>
        <v>39390656304.260002</v>
      </c>
      <c r="N9" s="209">
        <f>'Kendali Rekening'!S13</f>
        <v>42.998856878367057</v>
      </c>
      <c r="O9" s="209">
        <f>'Kendali Rekening'!T13</f>
        <v>50.011645205136354</v>
      </c>
      <c r="P9" s="209">
        <f>'Kendali Rekening'!U13</f>
        <v>20.660121093721177</v>
      </c>
      <c r="Q9" s="209">
        <f>M9/G9*100</f>
        <v>43.231739607726283</v>
      </c>
      <c r="R9" s="209">
        <f>M9/H9*100</f>
        <v>49.263344082052939</v>
      </c>
      <c r="S9" s="209">
        <f>M9/H9*100</f>
        <v>49.263344082052939</v>
      </c>
      <c r="T9" s="209">
        <f>'Kendali Rekening'!V13</f>
        <v>43.231739607726283</v>
      </c>
      <c r="U9" s="238">
        <f>H9-M9</f>
        <v>40568707068.739998</v>
      </c>
      <c r="V9" s="209">
        <f>H9-M9</f>
        <v>40568707068.739998</v>
      </c>
      <c r="W9" s="177">
        <f>'Kendali Rekening'!W13</f>
        <v>51724474989.739998</v>
      </c>
      <c r="X9" s="210"/>
      <c r="Y9" s="210"/>
      <c r="Z9" s="249"/>
    </row>
    <row r="10" spans="1:26" s="161" customFormat="1" ht="19.5" customHeight="1" thickBot="1">
      <c r="A10" s="178" t="s">
        <v>12</v>
      </c>
      <c r="B10" s="179" t="s">
        <v>13</v>
      </c>
      <c r="C10" s="180">
        <f>'Kendali Rekening'!C14</f>
        <v>21301798694</v>
      </c>
      <c r="D10" s="180">
        <f>'Kendali Rekening'!D14</f>
        <v>0</v>
      </c>
      <c r="E10" s="180">
        <f>'Kendali Rekening'!E14</f>
        <v>0</v>
      </c>
      <c r="F10" s="180">
        <f>'Kendali Rekening'!F14</f>
        <v>21301798694</v>
      </c>
      <c r="G10" s="180">
        <f t="shared" ref="G10:G22" si="0">F10</f>
        <v>21301798694</v>
      </c>
      <c r="H10" s="180">
        <v>16933749274</v>
      </c>
      <c r="I10" s="180">
        <v>9512802097</v>
      </c>
      <c r="J10" s="180">
        <f>'Kendali Rekening'!O14</f>
        <v>13325882855</v>
      </c>
      <c r="K10" s="180">
        <f>'Kendali Rekening'!P14</f>
        <v>0</v>
      </c>
      <c r="L10" s="180">
        <f>'Kendali Rekening'!Q14</f>
        <v>0</v>
      </c>
      <c r="M10" s="180">
        <f>'Kendali Rekening'!R14</f>
        <v>13325882855</v>
      </c>
      <c r="N10" s="211">
        <f>'Kendali Rekening'!S14</f>
        <v>62.55754758753519</v>
      </c>
      <c r="O10" s="211">
        <f>'Kendali Rekening'!T14</f>
        <v>0</v>
      </c>
      <c r="P10" s="211">
        <f>'Kendali Rekening'!U14</f>
        <v>0</v>
      </c>
      <c r="Q10" s="211">
        <f t="shared" ref="Q10:Q22" si="1">M10/G10*100</f>
        <v>62.55754758753519</v>
      </c>
      <c r="R10" s="211">
        <f t="shared" ref="R10:R22" si="2">M10/H10*100</f>
        <v>78.694225592795902</v>
      </c>
      <c r="S10" s="248">
        <f t="shared" ref="S10:S22" si="3">M10/H10*100</f>
        <v>78.694225592795902</v>
      </c>
      <c r="T10" s="211">
        <f>'Kendali Rekening'!V14</f>
        <v>62.55754758753519</v>
      </c>
      <c r="U10" s="239">
        <f>H10-M10</f>
        <v>3607866419</v>
      </c>
      <c r="V10" s="211">
        <f t="shared" ref="V10:V22" si="4">H10-M10</f>
        <v>3607866419</v>
      </c>
      <c r="W10" s="180">
        <f>'Kendali Rekening'!W14</f>
        <v>7975915839</v>
      </c>
      <c r="X10" s="212"/>
      <c r="Y10" s="213"/>
    </row>
    <row r="11" spans="1:26" s="161" customFormat="1" ht="19.5" customHeight="1" thickBot="1">
      <c r="A11" s="181" t="s">
        <v>14</v>
      </c>
      <c r="B11" s="179" t="s">
        <v>15</v>
      </c>
      <c r="C11" s="180">
        <f>'Kendali Rekening'!C46</f>
        <v>64206798277</v>
      </c>
      <c r="D11" s="180">
        <f>'Kendali Rekening'!D46</f>
        <v>4989929273</v>
      </c>
      <c r="E11" s="180">
        <f>'Kendali Rekening'!E46</f>
        <v>616605050</v>
      </c>
      <c r="F11" s="180">
        <f>'Kendali Rekening'!F46</f>
        <v>69813332600</v>
      </c>
      <c r="G11" s="180">
        <f t="shared" si="0"/>
        <v>69813332600</v>
      </c>
      <c r="H11" s="180">
        <f>H12+H16+H17+H18+H19+H20+H21+H22</f>
        <v>63025614099</v>
      </c>
      <c r="I11" s="180">
        <f>I12+I16+I17+I18+I19+I20+I21+I22</f>
        <v>23948179770</v>
      </c>
      <c r="J11" s="180">
        <f>'Kendali Rekening'!O46</f>
        <v>23441836375.260002</v>
      </c>
      <c r="K11" s="180">
        <f>'Kendali Rekening'!P46</f>
        <v>2495545724</v>
      </c>
      <c r="L11" s="180">
        <f>'Kendali Rekening'!Q46</f>
        <v>127391350</v>
      </c>
      <c r="M11" s="180">
        <f>'Kendali Rekening'!R46</f>
        <v>26064773449.260002</v>
      </c>
      <c r="N11" s="211">
        <f>'Kendali Rekening'!S46</f>
        <v>36.509897712275865</v>
      </c>
      <c r="O11" s="211">
        <f>'Kendali Rekening'!T46</f>
        <v>50.011645205136354</v>
      </c>
      <c r="P11" s="211">
        <f>'Kendali Rekening'!U46</f>
        <v>20.660121093721177</v>
      </c>
      <c r="Q11" s="211">
        <f t="shared" si="1"/>
        <v>37.33495090200006</v>
      </c>
      <c r="R11" s="211">
        <f t="shared" si="2"/>
        <v>41.355842099876597</v>
      </c>
      <c r="S11" s="211">
        <f t="shared" si="3"/>
        <v>41.355842099876597</v>
      </c>
      <c r="T11" s="211">
        <f>'Kendali Rekening'!V46</f>
        <v>37.33495090200006</v>
      </c>
      <c r="U11" s="239">
        <f t="shared" ref="U11:U22" si="5">H11-M11</f>
        <v>36960840649.739998</v>
      </c>
      <c r="V11" s="211">
        <f t="shared" si="4"/>
        <v>36960840649.739998</v>
      </c>
      <c r="W11" s="180">
        <f>'Kendali Rekening'!W46</f>
        <v>43748559150.739998</v>
      </c>
    </row>
    <row r="12" spans="1:26" s="162" customFormat="1" ht="19.5" customHeight="1" thickBot="1">
      <c r="A12" s="182"/>
      <c r="B12" s="183" t="s">
        <v>16</v>
      </c>
      <c r="C12" s="184">
        <f>'Kendali Rekening'!C48</f>
        <v>13555891270</v>
      </c>
      <c r="D12" s="184">
        <f>'Kendali Rekening'!D48</f>
        <v>556107800</v>
      </c>
      <c r="E12" s="184">
        <f>'Kendali Rekening'!E48</f>
        <v>0</v>
      </c>
      <c r="F12" s="184">
        <f>'Kendali Rekening'!F48</f>
        <v>14111999070</v>
      </c>
      <c r="G12" s="184">
        <f t="shared" si="0"/>
        <v>14111999070</v>
      </c>
      <c r="H12" s="184">
        <f>SUM(H13:H15)</f>
        <v>11396187185</v>
      </c>
      <c r="I12" s="184">
        <f>SUM(I13:I15)</f>
        <v>8036143369</v>
      </c>
      <c r="J12" s="184">
        <f>'Kendali Rekening'!O48</f>
        <v>7853476100</v>
      </c>
      <c r="K12" s="184">
        <f>'Kendali Rekening'!P48</f>
        <v>43182330</v>
      </c>
      <c r="L12" s="184">
        <f>'Kendali Rekening'!Q48</f>
        <v>0</v>
      </c>
      <c r="M12" s="184">
        <f>'Kendali Rekening'!R48</f>
        <v>7896658430</v>
      </c>
      <c r="N12" s="214">
        <f>'Kendali Rekening'!S48</f>
        <v>57.934044642127027</v>
      </c>
      <c r="O12" s="214">
        <f>'Kendali Rekening'!T48</f>
        <v>7.7651005794200341</v>
      </c>
      <c r="P12" s="214">
        <f>'Kendali Rekening'!U48</f>
        <v>0</v>
      </c>
      <c r="Q12" s="214">
        <f t="shared" si="1"/>
        <v>55.957050385491556</v>
      </c>
      <c r="R12" s="214">
        <f t="shared" si="2"/>
        <v>69.292108858950797</v>
      </c>
      <c r="S12" s="214">
        <f t="shared" si="3"/>
        <v>69.292108858950797</v>
      </c>
      <c r="T12" s="214">
        <f>'Kendali Rekening'!V48</f>
        <v>55.957050385491556</v>
      </c>
      <c r="U12" s="240">
        <f t="shared" si="5"/>
        <v>3499528755</v>
      </c>
      <c r="V12" s="214">
        <f t="shared" si="4"/>
        <v>3499528755</v>
      </c>
      <c r="W12" s="184">
        <f>'Kendali Rekening'!W48</f>
        <v>6215340640</v>
      </c>
    </row>
    <row r="13" spans="1:26" s="163" customFormat="1" ht="19.5" customHeight="1" thickBot="1">
      <c r="A13" s="185"/>
      <c r="B13" s="186" t="s">
        <v>17</v>
      </c>
      <c r="C13" s="187">
        <f>'Kendali Rekening'!C49</f>
        <v>11636724073</v>
      </c>
      <c r="D13" s="187">
        <f>'Kendali Rekening'!D49</f>
        <v>260000000</v>
      </c>
      <c r="E13" s="187">
        <f>'Kendali Rekening'!E49</f>
        <v>0</v>
      </c>
      <c r="F13" s="187">
        <f>'Kendali Rekening'!F49</f>
        <v>11896724073</v>
      </c>
      <c r="G13" s="187">
        <f t="shared" si="0"/>
        <v>11896724073</v>
      </c>
      <c r="H13" s="187">
        <v>9416615868</v>
      </c>
      <c r="I13" s="187">
        <v>6665759212</v>
      </c>
      <c r="J13" s="187">
        <f>'Kendali Rekening'!O49</f>
        <v>6592231845</v>
      </c>
      <c r="K13" s="187">
        <f>'Kendali Rekening'!P49</f>
        <v>12000000</v>
      </c>
      <c r="L13" s="187">
        <f>'Kendali Rekening'!Q49</f>
        <v>0</v>
      </c>
      <c r="M13" s="187">
        <f>'Kendali Rekening'!R49</f>
        <v>6604231845</v>
      </c>
      <c r="N13" s="215">
        <f>'Kendali Rekening'!S49</f>
        <v>56.650237675529013</v>
      </c>
      <c r="O13" s="215">
        <f>'Kendali Rekening'!T49</f>
        <v>4.6153846153846159</v>
      </c>
      <c r="P13" s="215">
        <f>'Kendali Rekening'!U49</f>
        <v>0</v>
      </c>
      <c r="Q13" s="215">
        <f t="shared" si="1"/>
        <v>55.513028666341157</v>
      </c>
      <c r="R13" s="215">
        <f>M13/H13*100</f>
        <v>70.133813862396366</v>
      </c>
      <c r="S13" s="252">
        <f t="shared" si="3"/>
        <v>70.133813862396366</v>
      </c>
      <c r="T13" s="215">
        <f>'Kendali Rekening'!V49</f>
        <v>55.513028666341157</v>
      </c>
      <c r="U13" s="241">
        <f t="shared" si="5"/>
        <v>2812384023</v>
      </c>
      <c r="V13" s="215">
        <f t="shared" si="4"/>
        <v>2812384023</v>
      </c>
      <c r="W13" s="187">
        <f>'Kendali Rekening'!W49</f>
        <v>5292492228</v>
      </c>
    </row>
    <row r="14" spans="1:26" s="164" customFormat="1" ht="19.5" customHeight="1" thickBot="1">
      <c r="A14" s="185"/>
      <c r="B14" s="186" t="s">
        <v>18</v>
      </c>
      <c r="C14" s="187">
        <f>'Kendali Rekening'!C185</f>
        <v>1724767197</v>
      </c>
      <c r="D14" s="187">
        <f>'Kendali Rekening'!D185</f>
        <v>296107800</v>
      </c>
      <c r="E14" s="187">
        <f>'Kendali Rekening'!E185</f>
        <v>0</v>
      </c>
      <c r="F14" s="187">
        <f>'Kendali Rekening'!F185</f>
        <v>2020874997</v>
      </c>
      <c r="G14" s="187">
        <f t="shared" si="0"/>
        <v>2020874997</v>
      </c>
      <c r="H14" s="187">
        <v>1786121297</v>
      </c>
      <c r="I14" s="187">
        <v>1193734137</v>
      </c>
      <c r="J14" s="187">
        <f>'Kendali Rekening'!O185</f>
        <v>1156630305</v>
      </c>
      <c r="K14" s="187">
        <f>'Kendali Rekening'!P185</f>
        <v>31182330</v>
      </c>
      <c r="L14" s="187">
        <f>'Kendali Rekening'!Q185</f>
        <v>0</v>
      </c>
      <c r="M14" s="187">
        <f>'Kendali Rekening'!R185</f>
        <v>1187812635</v>
      </c>
      <c r="N14" s="215">
        <f>'Kendali Rekening'!S185</f>
        <v>67.060082486019127</v>
      </c>
      <c r="O14" s="215">
        <f>'Kendali Rekening'!T185</f>
        <v>10.530735765825824</v>
      </c>
      <c r="P14" s="215">
        <f>'Kendali Rekening'!U185</f>
        <v>0</v>
      </c>
      <c r="Q14" s="215">
        <f t="shared" si="1"/>
        <v>58.777145383228266</v>
      </c>
      <c r="R14" s="215">
        <f t="shared" si="2"/>
        <v>66.502349924110447</v>
      </c>
      <c r="S14" s="252">
        <f t="shared" si="3"/>
        <v>66.502349924110447</v>
      </c>
      <c r="T14" s="215">
        <f>'Kendali Rekening'!V185</f>
        <v>58.777145383228266</v>
      </c>
      <c r="U14" s="241">
        <f t="shared" si="5"/>
        <v>598308662</v>
      </c>
      <c r="V14" s="215">
        <f t="shared" si="4"/>
        <v>598308662</v>
      </c>
      <c r="W14" s="187">
        <f>'Kendali Rekening'!W185</f>
        <v>833062362</v>
      </c>
    </row>
    <row r="15" spans="1:26" s="164" customFormat="1" ht="19.5" customHeight="1" thickBot="1">
      <c r="A15" s="185"/>
      <c r="B15" s="186" t="s">
        <v>446</v>
      </c>
      <c r="C15" s="187">
        <f>'Kendali Rekening'!C148</f>
        <v>194400000</v>
      </c>
      <c r="D15" s="187">
        <f>'Kendali Rekening'!D148</f>
        <v>0</v>
      </c>
      <c r="E15" s="187">
        <f>'Kendali Rekening'!E148</f>
        <v>0</v>
      </c>
      <c r="F15" s="187">
        <f>'Kendali Rekening'!F148</f>
        <v>194400000</v>
      </c>
      <c r="G15" s="187">
        <f t="shared" si="0"/>
        <v>194400000</v>
      </c>
      <c r="H15" s="187">
        <v>193450020</v>
      </c>
      <c r="I15" s="187">
        <v>176650020</v>
      </c>
      <c r="J15" s="187">
        <f>'Kendali Rekening'!O148</f>
        <v>104613950</v>
      </c>
      <c r="K15" s="187">
        <f>'Kendali Rekening'!P148</f>
        <v>0</v>
      </c>
      <c r="L15" s="187">
        <f>'Kendali Rekening'!Q148</f>
        <v>0</v>
      </c>
      <c r="M15" s="187">
        <f>'Kendali Rekening'!R148</f>
        <v>104613950</v>
      </c>
      <c r="N15" s="215">
        <f>'Kendali Rekening'!S148</f>
        <v>53.813760288065851</v>
      </c>
      <c r="O15" s="187">
        <f>'Kendali Rekening'!T148</f>
        <v>0</v>
      </c>
      <c r="P15" s="187">
        <f>'Kendali Rekening'!U148</f>
        <v>0</v>
      </c>
      <c r="Q15" s="215">
        <f t="shared" si="1"/>
        <v>53.813760288065851</v>
      </c>
      <c r="R15" s="215">
        <f t="shared" si="2"/>
        <v>54.078024907932289</v>
      </c>
      <c r="S15" s="252">
        <f t="shared" si="3"/>
        <v>54.078024907932289</v>
      </c>
      <c r="T15" s="215">
        <f>'Kendali Rekening'!V148</f>
        <v>53.813760288065851</v>
      </c>
      <c r="U15" s="241">
        <f t="shared" si="5"/>
        <v>88836070</v>
      </c>
      <c r="V15" s="215">
        <f t="shared" si="4"/>
        <v>88836070</v>
      </c>
      <c r="W15" s="187">
        <f>'Kendali Rekening'!W148</f>
        <v>89786050</v>
      </c>
    </row>
    <row r="16" spans="1:26" s="165" customFormat="1" ht="19.5" customHeight="1" thickBot="1">
      <c r="A16" s="188"/>
      <c r="B16" s="189" t="s">
        <v>19</v>
      </c>
      <c r="C16" s="190">
        <f>'Kendali Rekening'!C218</f>
        <v>21806682510</v>
      </c>
      <c r="D16" s="190">
        <f>'Kendali Rekening'!D218</f>
        <v>368452000</v>
      </c>
      <c r="E16" s="190">
        <f>'Kendali Rekening'!E218</f>
        <v>0</v>
      </c>
      <c r="F16" s="190">
        <f>'Kendali Rekening'!F218</f>
        <v>22175134510</v>
      </c>
      <c r="G16" s="190">
        <f t="shared" si="0"/>
        <v>22175134510</v>
      </c>
      <c r="H16" s="190">
        <v>21812456066</v>
      </c>
      <c r="I16" s="190">
        <v>2181333056</v>
      </c>
      <c r="J16" s="190">
        <f>'Kendali Rekening'!O218</f>
        <v>1931892424</v>
      </c>
      <c r="K16" s="190">
        <f>'Kendali Rekening'!P218</f>
        <v>311786242</v>
      </c>
      <c r="L16" s="190">
        <f>'Kendali Rekening'!Q218</f>
        <v>0</v>
      </c>
      <c r="M16" s="190">
        <f>'Kendali Rekening'!R218</f>
        <v>2243678666</v>
      </c>
      <c r="N16" s="216">
        <f>'Kendali Rekening'!S218</f>
        <v>8.8591761865386101</v>
      </c>
      <c r="O16" s="216">
        <f>'Kendali Rekening'!T218</f>
        <v>84.620586127908112</v>
      </c>
      <c r="P16" s="216">
        <f>'Kendali Rekening'!U218</f>
        <v>0</v>
      </c>
      <c r="Q16" s="216">
        <f t="shared" si="1"/>
        <v>10.117993489456403</v>
      </c>
      <c r="R16" s="216">
        <f t="shared" si="2"/>
        <v>10.286226636794547</v>
      </c>
      <c r="S16" s="214">
        <f t="shared" si="3"/>
        <v>10.286226636794547</v>
      </c>
      <c r="T16" s="216">
        <f>'Kendali Rekening'!V218</f>
        <v>10.117993489456403</v>
      </c>
      <c r="U16" s="242">
        <f t="shared" si="5"/>
        <v>19568777400</v>
      </c>
      <c r="V16" s="216">
        <f t="shared" si="4"/>
        <v>19568777400</v>
      </c>
      <c r="W16" s="190">
        <f>'Kendali Rekening'!W218</f>
        <v>19931455844</v>
      </c>
    </row>
    <row r="17" spans="1:25" s="165" customFormat="1" ht="19.5" customHeight="1" thickBot="1">
      <c r="A17" s="191"/>
      <c r="B17" s="189" t="s">
        <v>20</v>
      </c>
      <c r="C17" s="192">
        <f>'Kendali Rekening'!C270</f>
        <v>2761777077</v>
      </c>
      <c r="D17" s="192">
        <f>'Kendali Rekening'!D270</f>
        <v>2677899423</v>
      </c>
      <c r="E17" s="192">
        <f>'Kendali Rekening'!E270</f>
        <v>475845050</v>
      </c>
      <c r="F17" s="192">
        <f>'Kendali Rekening'!F270</f>
        <v>5915521550</v>
      </c>
      <c r="G17" s="192">
        <f t="shared" si="0"/>
        <v>5915521550</v>
      </c>
      <c r="H17" s="192">
        <v>5515167840</v>
      </c>
      <c r="I17" s="192">
        <v>3830300830</v>
      </c>
      <c r="J17" s="192">
        <f>'Kendali Rekening'!O270</f>
        <v>1891350182</v>
      </c>
      <c r="K17" s="192">
        <f>'Kendali Rekening'!P270</f>
        <v>1632032022</v>
      </c>
      <c r="L17" s="192">
        <f>'Kendali Rekening'!Q270</f>
        <v>114791350</v>
      </c>
      <c r="M17" s="192">
        <f>'Kendali Rekening'!R270</f>
        <v>3638173554</v>
      </c>
      <c r="N17" s="217">
        <f>'Kendali Rekening'!S270</f>
        <v>68.483086406615143</v>
      </c>
      <c r="O17" s="217">
        <f>'Kendali Rekening'!T270</f>
        <v>60.944485367253463</v>
      </c>
      <c r="P17" s="217">
        <f>'Kendali Rekening'!U270</f>
        <v>24.123682698811304</v>
      </c>
      <c r="Q17" s="217">
        <f t="shared" si="1"/>
        <v>61.502160430807663</v>
      </c>
      <c r="R17" s="217">
        <f t="shared" si="2"/>
        <v>65.966687860581956</v>
      </c>
      <c r="S17" s="217">
        <f t="shared" si="3"/>
        <v>65.966687860581956</v>
      </c>
      <c r="T17" s="217">
        <f>'Kendali Rekening'!V270</f>
        <v>61.502160430807663</v>
      </c>
      <c r="U17" s="243">
        <f t="shared" si="5"/>
        <v>1876994286</v>
      </c>
      <c r="V17" s="217">
        <f t="shared" si="4"/>
        <v>1876994286</v>
      </c>
      <c r="W17" s="192">
        <f>'Kendali Rekening'!W270</f>
        <v>2277347996</v>
      </c>
      <c r="X17" s="218"/>
    </row>
    <row r="18" spans="1:25" s="165" customFormat="1" ht="19.5" customHeight="1" thickBot="1">
      <c r="A18" s="191"/>
      <c r="B18" s="193" t="s">
        <v>21</v>
      </c>
      <c r="C18" s="192">
        <f>'Kendali Rekening'!C312</f>
        <v>1218929441</v>
      </c>
      <c r="D18" s="192">
        <f>'Kendali Rekening'!D312</f>
        <v>290816000</v>
      </c>
      <c r="E18" s="192">
        <f>'Kendali Rekening'!E312</f>
        <v>140760000</v>
      </c>
      <c r="F18" s="192">
        <f>'Kendali Rekening'!F312</f>
        <v>1650505441</v>
      </c>
      <c r="G18" s="192">
        <f t="shared" si="0"/>
        <v>1650505441</v>
      </c>
      <c r="H18" s="192">
        <v>1445669441</v>
      </c>
      <c r="I18" s="192">
        <v>984382000</v>
      </c>
      <c r="J18" s="192">
        <f>'Kendali Rekening'!O312</f>
        <v>1250133218</v>
      </c>
      <c r="K18" s="192">
        <f>'Kendali Rekening'!P312</f>
        <v>78869500</v>
      </c>
      <c r="L18" s="192">
        <f>'Kendali Rekening'!Q312</f>
        <v>12600000</v>
      </c>
      <c r="M18" s="192">
        <f>'Kendali Rekening'!R312</f>
        <v>1341602718</v>
      </c>
      <c r="N18" s="217">
        <f>'Kendali Rekening'!S312</f>
        <v>102.55993299943601</v>
      </c>
      <c r="O18" s="217">
        <f>'Kendali Rekening'!T312</f>
        <v>27.120069047095068</v>
      </c>
      <c r="P18" s="217">
        <f>'Kendali Rekening'!U312</f>
        <v>8.9514066496163682</v>
      </c>
      <c r="Q18" s="217">
        <f t="shared" si="1"/>
        <v>81.28435597202008</v>
      </c>
      <c r="R18" s="217">
        <f t="shared" si="2"/>
        <v>92.801485592168646</v>
      </c>
      <c r="S18" s="217">
        <f t="shared" si="3"/>
        <v>92.801485592168646</v>
      </c>
      <c r="T18" s="217">
        <f>'Kendali Rekening'!V312</f>
        <v>81.28435597202008</v>
      </c>
      <c r="U18" s="243">
        <f t="shared" si="5"/>
        <v>104066723</v>
      </c>
      <c r="V18" s="217">
        <f t="shared" si="4"/>
        <v>104066723</v>
      </c>
      <c r="W18" s="192">
        <f>'Kendali Rekening'!W312</f>
        <v>308902723</v>
      </c>
    </row>
    <row r="19" spans="1:25" s="165" customFormat="1" ht="19.5" customHeight="1" thickBot="1">
      <c r="A19" s="191"/>
      <c r="B19" s="183" t="s">
        <v>22</v>
      </c>
      <c r="C19" s="192">
        <f>'Kendali Rekening'!C334</f>
        <v>6922837685</v>
      </c>
      <c r="D19" s="192">
        <f>'Kendali Rekening'!D334</f>
        <v>496541600</v>
      </c>
      <c r="E19" s="192">
        <f>'Kendali Rekening'!E334</f>
        <v>0</v>
      </c>
      <c r="F19" s="192">
        <f>'Kendali Rekening'!F334</f>
        <v>7419379285</v>
      </c>
      <c r="G19" s="192">
        <f t="shared" si="0"/>
        <v>7419379285</v>
      </c>
      <c r="H19" s="192">
        <v>5942408311</v>
      </c>
      <c r="I19" s="192">
        <v>2384296381</v>
      </c>
      <c r="J19" s="192">
        <f>'Kendali Rekening'!O334</f>
        <v>1945318676</v>
      </c>
      <c r="K19" s="192">
        <f>'Kendali Rekening'!P334</f>
        <v>72405970</v>
      </c>
      <c r="L19" s="192">
        <f>'Kendali Rekening'!Q334</f>
        <v>0</v>
      </c>
      <c r="M19" s="192">
        <f>'Kendali Rekening'!R334</f>
        <v>2017724646</v>
      </c>
      <c r="N19" s="217">
        <f>'Kendali Rekening'!S334</f>
        <v>28.100018583636633</v>
      </c>
      <c r="O19" s="217">
        <f>'Kendali Rekening'!T334</f>
        <v>14.582055159124632</v>
      </c>
      <c r="P19" s="217">
        <f>'Kendali Rekening'!U334</f>
        <v>0</v>
      </c>
      <c r="Q19" s="217">
        <f t="shared" si="1"/>
        <v>27.195329534901919</v>
      </c>
      <c r="R19" s="217">
        <f t="shared" si="2"/>
        <v>33.954661820612145</v>
      </c>
      <c r="S19" s="217">
        <f t="shared" si="3"/>
        <v>33.954661820612145</v>
      </c>
      <c r="T19" s="217">
        <f>'Kendali Rekening'!V334</f>
        <v>27.195329534901919</v>
      </c>
      <c r="U19" s="243">
        <f t="shared" si="5"/>
        <v>3924683665</v>
      </c>
      <c r="V19" s="217">
        <f t="shared" si="4"/>
        <v>3924683665</v>
      </c>
      <c r="W19" s="192">
        <f>'Kendali Rekening'!W334</f>
        <v>5401654639</v>
      </c>
    </row>
    <row r="20" spans="1:25" s="166" customFormat="1" ht="19.5" customHeight="1" thickBot="1">
      <c r="A20" s="194"/>
      <c r="B20" s="183" t="s">
        <v>23</v>
      </c>
      <c r="C20" s="195">
        <f>'Kendali Rekening'!C388</f>
        <v>2802512814</v>
      </c>
      <c r="D20" s="195">
        <f>'Kendali Rekening'!D388</f>
        <v>0</v>
      </c>
      <c r="E20" s="195">
        <f>'Kendali Rekening'!E388</f>
        <v>0</v>
      </c>
      <c r="F20" s="195">
        <f>'Kendali Rekening'!F388</f>
        <v>2802512814</v>
      </c>
      <c r="G20" s="195">
        <f t="shared" si="0"/>
        <v>2802512814</v>
      </c>
      <c r="H20" s="195">
        <v>2444436799</v>
      </c>
      <c r="I20" s="195">
        <v>1281768619</v>
      </c>
      <c r="J20" s="195">
        <f>'Kendali Rekening'!O388</f>
        <v>1695924671</v>
      </c>
      <c r="K20" s="195">
        <f>'Kendali Rekening'!P388</f>
        <v>0</v>
      </c>
      <c r="L20" s="195">
        <f>'Kendali Rekening'!Q388</f>
        <v>0</v>
      </c>
      <c r="M20" s="195">
        <f>'Kendali Rekening'!R388</f>
        <v>1695924671</v>
      </c>
      <c r="N20" s="219">
        <f>'Kendali Rekening'!S388</f>
        <v>60.514430568451985</v>
      </c>
      <c r="O20" s="219">
        <f>'Kendali Rekening'!T388</f>
        <v>0</v>
      </c>
      <c r="P20" s="219">
        <f>'Kendali Rekening'!U388</f>
        <v>0</v>
      </c>
      <c r="Q20" s="219">
        <f t="shared" si="1"/>
        <v>60.514430568451985</v>
      </c>
      <c r="R20" s="219">
        <f t="shared" si="2"/>
        <v>69.378953536200626</v>
      </c>
      <c r="S20" s="219">
        <f t="shared" si="3"/>
        <v>69.378953536200626</v>
      </c>
      <c r="T20" s="219">
        <f>'Kendali Rekening'!V388</f>
        <v>60.514430568451985</v>
      </c>
      <c r="U20" s="244">
        <f t="shared" si="5"/>
        <v>748512128</v>
      </c>
      <c r="V20" s="219">
        <f t="shared" si="4"/>
        <v>748512128</v>
      </c>
      <c r="W20" s="195">
        <f>'Kendali Rekening'!W388</f>
        <v>1106588143</v>
      </c>
      <c r="Y20" s="220"/>
    </row>
    <row r="21" spans="1:25" s="167" customFormat="1" ht="39.75" thickBot="1">
      <c r="A21" s="196"/>
      <c r="B21" s="197" t="s">
        <v>24</v>
      </c>
      <c r="C21" s="198">
        <f>'Kendali Rekening'!C480</f>
        <v>5194136970</v>
      </c>
      <c r="D21" s="198">
        <f>'Kendali Rekening'!D480</f>
        <v>600112450</v>
      </c>
      <c r="E21" s="198">
        <f>'Kendali Rekening'!E480</f>
        <v>0</v>
      </c>
      <c r="F21" s="198">
        <f>'Kendali Rekening'!F480</f>
        <v>5794249420</v>
      </c>
      <c r="G21" s="198">
        <f t="shared" si="0"/>
        <v>5794249420</v>
      </c>
      <c r="H21" s="198">
        <v>5411280575</v>
      </c>
      <c r="I21" s="198">
        <v>1612407165</v>
      </c>
      <c r="J21" s="198">
        <f>'Kendali Rekening'!O480</f>
        <v>1911102198</v>
      </c>
      <c r="K21" s="198">
        <f>'Kendali Rekening'!P480</f>
        <v>357269660</v>
      </c>
      <c r="L21" s="198">
        <f>'Kendali Rekening'!Q480</f>
        <v>0</v>
      </c>
      <c r="M21" s="198">
        <f>'Kendali Rekening'!R480</f>
        <v>2268371858</v>
      </c>
      <c r="N21" s="221">
        <f>'Kendali Rekening'!S480</f>
        <v>36.793450173494371</v>
      </c>
      <c r="O21" s="221">
        <f>'Kendali Rekening'!T480</f>
        <v>59.533785709661579</v>
      </c>
      <c r="P21" s="221">
        <f>'Kendali Rekening'!U480</f>
        <v>0</v>
      </c>
      <c r="Q21" s="221">
        <f t="shared" si="1"/>
        <v>39.148674721703642</v>
      </c>
      <c r="R21" s="221">
        <f t="shared" si="2"/>
        <v>41.919317000116926</v>
      </c>
      <c r="S21" s="221">
        <f t="shared" si="3"/>
        <v>41.919317000116926</v>
      </c>
      <c r="T21" s="221">
        <f>'Kendali Rekening'!V480</f>
        <v>39.148674721703642</v>
      </c>
      <c r="U21" s="245">
        <f t="shared" si="5"/>
        <v>3142908717</v>
      </c>
      <c r="V21" s="221">
        <f t="shared" si="4"/>
        <v>3142908717</v>
      </c>
      <c r="W21" s="198">
        <f>'Kendali Rekening'!W480</f>
        <v>3525877562</v>
      </c>
    </row>
    <row r="22" spans="1:25" s="166" customFormat="1" ht="19.5" customHeight="1" thickBot="1">
      <c r="A22" s="194"/>
      <c r="B22" s="189" t="s">
        <v>25</v>
      </c>
      <c r="C22" s="195">
        <f>'Kendali Rekening'!C570</f>
        <v>9944030510</v>
      </c>
      <c r="D22" s="195">
        <f>'Kendali Rekening'!D570</f>
        <v>0</v>
      </c>
      <c r="E22" s="195">
        <f>'Kendali Rekening'!E570</f>
        <v>0</v>
      </c>
      <c r="F22" s="195">
        <f>'Kendali Rekening'!F570</f>
        <v>9944030510</v>
      </c>
      <c r="G22" s="195">
        <f t="shared" si="0"/>
        <v>9944030510</v>
      </c>
      <c r="H22" s="195">
        <v>9058007882</v>
      </c>
      <c r="I22" s="195">
        <v>3637548350</v>
      </c>
      <c r="J22" s="195">
        <f>'Kendali Rekening'!O570</f>
        <v>4962638906.2600002</v>
      </c>
      <c r="K22" s="195">
        <f>'Kendali Rekening'!P570</f>
        <v>0</v>
      </c>
      <c r="L22" s="195">
        <f>'Kendali Rekening'!Q570</f>
        <v>0</v>
      </c>
      <c r="M22" s="195">
        <f>'Kendali Rekening'!R570</f>
        <v>4962638906.2600002</v>
      </c>
      <c r="N22" s="219">
        <f>'Kendali Rekening'!S570</f>
        <v>49.90570876939114</v>
      </c>
      <c r="O22" s="219">
        <f>'Kendali Rekening'!T570</f>
        <v>0</v>
      </c>
      <c r="P22" s="219">
        <f>'Kendali Rekening'!U570</f>
        <v>0</v>
      </c>
      <c r="Q22" s="219">
        <f t="shared" si="1"/>
        <v>49.90570876939114</v>
      </c>
      <c r="R22" s="219">
        <f t="shared" si="2"/>
        <v>54.787310531289293</v>
      </c>
      <c r="S22" s="219">
        <f t="shared" si="3"/>
        <v>54.787310531289293</v>
      </c>
      <c r="T22" s="219">
        <f>'Kendali Rekening'!V570</f>
        <v>49.90570876939114</v>
      </c>
      <c r="U22" s="245">
        <f t="shared" si="5"/>
        <v>4095368975.7399998</v>
      </c>
      <c r="V22" s="219">
        <f t="shared" si="4"/>
        <v>4095368975.7399998</v>
      </c>
      <c r="W22" s="195">
        <f>'Kendali Rekening'!W570</f>
        <v>4981391603.7399998</v>
      </c>
    </row>
    <row r="23" spans="1:25">
      <c r="B23" s="199"/>
      <c r="C23" s="200"/>
      <c r="D23" s="200"/>
      <c r="E23" s="200"/>
      <c r="F23" s="200"/>
      <c r="G23" s="200"/>
    </row>
    <row r="24" spans="1:25" ht="19.5">
      <c r="B24" s="201"/>
      <c r="C24" s="202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234"/>
      <c r="S24" s="235" t="s">
        <v>519</v>
      </c>
      <c r="T24" s="168"/>
      <c r="U24" s="168"/>
      <c r="V24" s="168"/>
      <c r="W24" s="168"/>
    </row>
    <row r="25" spans="1:25" ht="19.5">
      <c r="B25" s="203"/>
      <c r="C25" s="170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236"/>
      <c r="S25" s="235" t="s">
        <v>520</v>
      </c>
      <c r="T25" s="168"/>
      <c r="U25" s="168"/>
      <c r="V25" s="168"/>
      <c r="W25" s="168"/>
    </row>
    <row r="26" spans="1:25" ht="19.5">
      <c r="B26" s="203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237"/>
      <c r="S26" s="235" t="s">
        <v>521</v>
      </c>
      <c r="T26" s="168"/>
      <c r="U26" s="168"/>
      <c r="V26" s="168"/>
      <c r="W26" s="168"/>
    </row>
    <row r="27" spans="1:25">
      <c r="B27" s="203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</row>
    <row r="28" spans="1:25">
      <c r="B28" s="203"/>
      <c r="C28" s="170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</row>
    <row r="29" spans="1:25">
      <c r="D29" s="170"/>
      <c r="E29" s="170"/>
      <c r="F29" s="170"/>
      <c r="G29" s="170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</row>
    <row r="30" spans="1:25">
      <c r="E30" s="170"/>
      <c r="F30" s="170"/>
      <c r="G30" s="170"/>
      <c r="H30" s="170"/>
      <c r="I30" s="170"/>
      <c r="J30" s="170"/>
      <c r="K30" s="170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</row>
    <row r="31" spans="1:25">
      <c r="J31" s="170"/>
      <c r="K31" s="170"/>
      <c r="L31" s="170"/>
      <c r="M31" s="170"/>
      <c r="O31" s="169"/>
      <c r="P31" s="168"/>
      <c r="Q31" s="168"/>
      <c r="R31" s="168"/>
      <c r="S31" s="168"/>
      <c r="T31" s="168"/>
      <c r="U31" s="168"/>
      <c r="V31" s="168"/>
      <c r="W31" s="168"/>
    </row>
  </sheetData>
  <mergeCells count="14">
    <mergeCell ref="A1:W1"/>
    <mergeCell ref="A2:W2"/>
    <mergeCell ref="A3:W3"/>
    <mergeCell ref="C7:F7"/>
    <mergeCell ref="J7:M7"/>
    <mergeCell ref="N7:T7"/>
    <mergeCell ref="A7:A8"/>
    <mergeCell ref="B7:B8"/>
    <mergeCell ref="W7:W8"/>
    <mergeCell ref="H7:H8"/>
    <mergeCell ref="V7:V8"/>
    <mergeCell ref="G7:G8"/>
    <mergeCell ref="I7:I8"/>
    <mergeCell ref="U7:U8"/>
  </mergeCells>
  <pageMargins left="0.27559055118110198" right="0.39370078740157499" top="0.55118110236220497" bottom="0.70866141732283505" header="0.511811023622047" footer="0"/>
  <pageSetup paperSize="9" scale="43" firstPageNumber="0" orientation="landscape" useFirstPageNumber="1" horizontalDpi="300" verticalDpi="300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O671"/>
  <sheetViews>
    <sheetView tabSelected="1" showOutlineSymbols="0" view="pageBreakPreview" topLeftCell="A10" zoomScale="68" zoomScaleNormal="100" zoomScaleSheetLayoutView="68" zoomScalePageLayoutView="80" workbookViewId="0">
      <pane xSplit="9195" ySplit="1305" topLeftCell="K13" activePane="bottomRight"/>
      <selection activeCell="R13" sqref="R13"/>
      <selection pane="topRight" activeCell="C386" sqref="C386"/>
      <selection pane="bottomLeft" activeCell="B389" sqref="B389"/>
      <selection pane="bottomRight" activeCell="K18" sqref="K18:K37"/>
    </sheetView>
  </sheetViews>
  <sheetFormatPr defaultColWidth="6.85546875" defaultRowHeight="16.5"/>
  <cols>
    <col min="1" max="1" width="28.28515625" style="18" customWidth="1"/>
    <col min="2" max="2" width="96.28515625" style="18" customWidth="1"/>
    <col min="3" max="7" width="22.28515625" style="19" customWidth="1"/>
    <col min="8" max="9" width="21.7109375" style="19" customWidth="1"/>
    <col min="10" max="10" width="22.7109375" style="19" customWidth="1"/>
    <col min="11" max="11" width="20.5703125" style="20" customWidth="1"/>
    <col min="12" max="13" width="20" style="20" customWidth="1"/>
    <col min="14" max="14" width="20.42578125" style="20" customWidth="1"/>
    <col min="15" max="15" width="22.140625" style="19" customWidth="1"/>
    <col min="16" max="17" width="21.28515625" style="19" customWidth="1"/>
    <col min="18" max="18" width="21.85546875" style="19" customWidth="1"/>
    <col min="19" max="19" width="11.85546875" style="21" customWidth="1"/>
    <col min="20" max="22" width="11.28515625" style="21" customWidth="1"/>
    <col min="23" max="23" width="21.28515625" style="19" customWidth="1"/>
    <col min="24" max="24" width="21" style="18" customWidth="1"/>
    <col min="25" max="25" width="19.7109375" style="18" customWidth="1"/>
    <col min="26" max="26" width="18.140625" style="18" customWidth="1"/>
    <col min="27" max="27" width="14" style="18" customWidth="1"/>
    <col min="28" max="28" width="14.28515625" style="18" customWidth="1"/>
    <col min="29" max="29" width="15.42578125" style="18" customWidth="1"/>
    <col min="30" max="30" width="15.28515625" style="18" customWidth="1"/>
    <col min="31" max="31" width="15" style="18" customWidth="1"/>
    <col min="32" max="32" width="15.28515625" style="18" customWidth="1"/>
    <col min="33" max="33" width="14.7109375" style="18" customWidth="1"/>
    <col min="34" max="34" width="14.28515625" style="18" customWidth="1"/>
    <col min="35" max="35" width="12.85546875" style="18" customWidth="1"/>
    <col min="36" max="37" width="17" style="18" customWidth="1"/>
    <col min="38" max="38" width="14" style="18" customWidth="1"/>
    <col min="39" max="39" width="14.28515625" style="18" customWidth="1"/>
    <col min="40" max="40" width="15.28515625" style="18" customWidth="1"/>
    <col min="41" max="41" width="14" style="18" customWidth="1"/>
    <col min="42" max="16384" width="6.85546875" style="18"/>
  </cols>
  <sheetData>
    <row r="1" spans="1:26" ht="18.75" customHeight="1">
      <c r="A1" s="271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</row>
    <row r="2" spans="1:26" ht="18.75" customHeight="1">
      <c r="A2" s="271" t="s">
        <v>1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</row>
    <row r="3" spans="1:26" ht="18.75" customHeight="1">
      <c r="A3" s="271" t="s">
        <v>534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</row>
    <row r="4" spans="1:26">
      <c r="C4" s="20"/>
      <c r="D4" s="20"/>
      <c r="E4" s="20"/>
      <c r="F4" s="20"/>
      <c r="G4" s="20"/>
      <c r="H4" s="20"/>
      <c r="I4" s="20"/>
      <c r="J4" s="20"/>
      <c r="O4" s="20"/>
      <c r="P4" s="20"/>
      <c r="Q4" s="20"/>
      <c r="R4" s="20"/>
      <c r="S4" s="64"/>
      <c r="T4" s="64"/>
      <c r="U4" s="64"/>
      <c r="V4" s="64"/>
      <c r="W4" s="20"/>
    </row>
    <row r="5" spans="1:26">
      <c r="C5" s="20"/>
      <c r="D5" s="20"/>
      <c r="E5" s="20"/>
      <c r="F5" s="20"/>
      <c r="G5" s="20"/>
      <c r="H5" s="20"/>
      <c r="I5" s="20"/>
      <c r="J5" s="20"/>
      <c r="W5" s="20"/>
    </row>
    <row r="6" spans="1:26" ht="18.75" customHeight="1">
      <c r="A6" s="22" t="s">
        <v>26</v>
      </c>
      <c r="B6" s="22" t="s">
        <v>27</v>
      </c>
      <c r="C6" s="23"/>
      <c r="D6" s="23"/>
      <c r="E6" s="23"/>
      <c r="F6" s="23"/>
      <c r="G6" s="24"/>
      <c r="H6" s="24"/>
      <c r="I6" s="24"/>
      <c r="J6" s="24"/>
      <c r="K6" s="27"/>
      <c r="L6" s="27"/>
      <c r="M6" s="27"/>
      <c r="N6" s="27"/>
      <c r="O6" s="65"/>
      <c r="P6" s="65"/>
      <c r="Q6" s="65"/>
      <c r="R6" s="66"/>
      <c r="S6" s="67"/>
      <c r="T6" s="67"/>
      <c r="U6" s="67"/>
      <c r="V6" s="67"/>
      <c r="W6" s="24"/>
      <c r="X6" s="26"/>
    </row>
    <row r="7" spans="1:26" ht="20.25" customHeight="1">
      <c r="A7" s="22" t="s">
        <v>28</v>
      </c>
      <c r="B7" s="22" t="s">
        <v>29</v>
      </c>
      <c r="C7" s="23"/>
      <c r="D7" s="23"/>
      <c r="E7" s="23"/>
      <c r="F7" s="23"/>
      <c r="G7" s="24"/>
      <c r="H7" s="24"/>
      <c r="I7" s="24"/>
      <c r="J7" s="24"/>
      <c r="K7" s="27"/>
      <c r="L7" s="27"/>
      <c r="M7" s="27"/>
      <c r="N7" s="27"/>
      <c r="O7" s="65"/>
      <c r="P7" s="65"/>
      <c r="Q7" s="65"/>
      <c r="R7" s="222"/>
      <c r="S7" s="68"/>
      <c r="T7" s="67"/>
      <c r="U7" s="67"/>
      <c r="V7" s="67"/>
      <c r="W7" s="24"/>
      <c r="X7" s="26"/>
    </row>
    <row r="8" spans="1:26" ht="18.75" customHeight="1">
      <c r="A8" s="22" t="s">
        <v>30</v>
      </c>
      <c r="B8" s="22" t="s">
        <v>31</v>
      </c>
      <c r="C8" s="23">
        <f>C9-C13</f>
        <v>1207790</v>
      </c>
      <c r="D8" s="23">
        <f>D9-D13</f>
        <v>-1207790</v>
      </c>
      <c r="E8" s="23">
        <f>E9-E13</f>
        <v>0</v>
      </c>
      <c r="F8" s="23">
        <f>F9-F13</f>
        <v>0</v>
      </c>
      <c r="G8" s="24" t="s">
        <v>532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69"/>
      <c r="S8" s="70"/>
      <c r="T8" s="70"/>
      <c r="U8" s="70"/>
      <c r="V8" s="70"/>
      <c r="W8" s="24"/>
      <c r="X8" s="26"/>
    </row>
    <row r="9" spans="1:26">
      <c r="A9" s="25"/>
      <c r="B9" s="26"/>
      <c r="C9" s="27">
        <v>85509804761</v>
      </c>
      <c r="D9" s="27">
        <v>4988721483</v>
      </c>
      <c r="E9" s="27">
        <v>616605050</v>
      </c>
      <c r="F9" s="27">
        <f>SUM(C9:E9)</f>
        <v>91115131294</v>
      </c>
      <c r="G9" s="27"/>
      <c r="H9" s="27">
        <f>G9-F9</f>
        <v>-91115131294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71"/>
      <c r="T9" s="71"/>
      <c r="U9" s="71"/>
      <c r="V9" s="71"/>
      <c r="W9" s="27"/>
      <c r="X9" s="26"/>
      <c r="Y9" s="230"/>
    </row>
    <row r="10" spans="1:26" s="1" customFormat="1" ht="19.5">
      <c r="A10" s="265" t="s">
        <v>2</v>
      </c>
      <c r="B10" s="268" t="s">
        <v>3</v>
      </c>
      <c r="C10" s="269" t="s">
        <v>335</v>
      </c>
      <c r="D10" s="269"/>
      <c r="E10" s="269"/>
      <c r="F10" s="269"/>
      <c r="G10" s="269" t="s">
        <v>4</v>
      </c>
      <c r="H10" s="269"/>
      <c r="I10" s="269"/>
      <c r="J10" s="269"/>
      <c r="K10" s="269"/>
      <c r="L10" s="269"/>
      <c r="M10" s="269"/>
      <c r="N10" s="269"/>
      <c r="O10" s="269"/>
      <c r="P10" s="269"/>
      <c r="Q10" s="269"/>
      <c r="R10" s="269"/>
      <c r="S10" s="272" t="s">
        <v>5</v>
      </c>
      <c r="T10" s="272"/>
      <c r="U10" s="272"/>
      <c r="V10" s="272"/>
      <c r="W10" s="269" t="s">
        <v>6</v>
      </c>
      <c r="X10" s="86"/>
    </row>
    <row r="11" spans="1:26" s="1" customFormat="1" ht="19.5">
      <c r="A11" s="266"/>
      <c r="B11" s="268"/>
      <c r="C11" s="269" t="s">
        <v>7</v>
      </c>
      <c r="D11" s="269" t="s">
        <v>8</v>
      </c>
      <c r="E11" s="273" t="s">
        <v>334</v>
      </c>
      <c r="F11" s="269" t="s">
        <v>9</v>
      </c>
      <c r="G11" s="269" t="s">
        <v>32</v>
      </c>
      <c r="H11" s="269"/>
      <c r="I11" s="269"/>
      <c r="J11" s="269"/>
      <c r="K11" s="269" t="s">
        <v>33</v>
      </c>
      <c r="L11" s="269"/>
      <c r="M11" s="269"/>
      <c r="N11" s="269"/>
      <c r="O11" s="269" t="s">
        <v>34</v>
      </c>
      <c r="P11" s="269"/>
      <c r="Q11" s="269"/>
      <c r="R11" s="269"/>
      <c r="S11" s="272"/>
      <c r="T11" s="272"/>
      <c r="U11" s="272"/>
      <c r="V11" s="272"/>
      <c r="W11" s="269"/>
      <c r="X11" s="87"/>
    </row>
    <row r="12" spans="1:26" s="1" customFormat="1" ht="24.75" customHeight="1">
      <c r="A12" s="267"/>
      <c r="B12" s="268"/>
      <c r="C12" s="269"/>
      <c r="D12" s="269"/>
      <c r="E12" s="274"/>
      <c r="F12" s="269"/>
      <c r="G12" s="28" t="s">
        <v>7</v>
      </c>
      <c r="H12" s="28" t="s">
        <v>8</v>
      </c>
      <c r="I12" s="224" t="s">
        <v>334</v>
      </c>
      <c r="J12" s="28" t="s">
        <v>9</v>
      </c>
      <c r="K12" s="28" t="s">
        <v>7</v>
      </c>
      <c r="L12" s="28" t="s">
        <v>8</v>
      </c>
      <c r="M12" s="224" t="s">
        <v>334</v>
      </c>
      <c r="N12" s="28" t="s">
        <v>9</v>
      </c>
      <c r="O12" s="28" t="s">
        <v>7</v>
      </c>
      <c r="P12" s="28" t="s">
        <v>8</v>
      </c>
      <c r="Q12" s="228" t="s">
        <v>334</v>
      </c>
      <c r="R12" s="28" t="s">
        <v>9</v>
      </c>
      <c r="S12" s="73" t="s">
        <v>7</v>
      </c>
      <c r="T12" s="72" t="s">
        <v>8</v>
      </c>
      <c r="U12" s="229" t="s">
        <v>334</v>
      </c>
      <c r="V12" s="72" t="s">
        <v>9</v>
      </c>
      <c r="W12" s="269"/>
      <c r="X12" s="87"/>
    </row>
    <row r="13" spans="1:26" ht="18">
      <c r="A13" s="29" t="s">
        <v>10</v>
      </c>
      <c r="B13" s="30" t="s">
        <v>11</v>
      </c>
      <c r="C13" s="31">
        <f>C14+C46</f>
        <v>85508596971</v>
      </c>
      <c r="D13" s="31">
        <f>D14+D46</f>
        <v>4989929273</v>
      </c>
      <c r="E13" s="31">
        <f>E14+E46</f>
        <v>616605050</v>
      </c>
      <c r="F13" s="31">
        <f t="shared" ref="F13:F88" si="0">C13+D13+E13</f>
        <v>91115131294</v>
      </c>
      <c r="G13" s="31">
        <f t="shared" ref="G13:I13" si="1">G14+G46</f>
        <v>36767719230.260002</v>
      </c>
      <c r="H13" s="31">
        <f t="shared" si="1"/>
        <v>2495545724</v>
      </c>
      <c r="I13" s="31">
        <f t="shared" si="1"/>
        <v>127391350</v>
      </c>
      <c r="J13" s="31">
        <f>G13+H13+I13</f>
        <v>39390656304.260002</v>
      </c>
      <c r="K13" s="31">
        <f t="shared" ref="K13:M13" si="2">K14+K46</f>
        <v>0</v>
      </c>
      <c r="L13" s="31">
        <f t="shared" si="2"/>
        <v>0</v>
      </c>
      <c r="M13" s="31">
        <f t="shared" si="2"/>
        <v>0</v>
      </c>
      <c r="N13" s="31">
        <f t="shared" ref="N13:N80" si="3">SUM(K13:M13)</f>
        <v>0</v>
      </c>
      <c r="O13" s="31">
        <f>K13+G13</f>
        <v>36767719230.260002</v>
      </c>
      <c r="P13" s="31">
        <f t="shared" ref="P13:P80" si="4">L13+H13</f>
        <v>2495545724</v>
      </c>
      <c r="Q13" s="31">
        <f t="shared" ref="Q13:Q80" si="5">M13+I13</f>
        <v>127391350</v>
      </c>
      <c r="R13" s="31">
        <f t="shared" ref="R13:R80" si="6">SUM(O13:Q13)</f>
        <v>39390656304.260002</v>
      </c>
      <c r="S13" s="74">
        <f>O13/C13*100</f>
        <v>42.998856878367057</v>
      </c>
      <c r="T13" s="74">
        <f>P13/D13*100</f>
        <v>50.011645205136354</v>
      </c>
      <c r="U13" s="74">
        <f>Q13/E13*100</f>
        <v>20.660121093721177</v>
      </c>
      <c r="V13" s="74">
        <f>R13/F13*100</f>
        <v>43.231739607726283</v>
      </c>
      <c r="W13" s="31">
        <f t="shared" ref="W13:W80" si="7">F13-R13</f>
        <v>51724474989.739998</v>
      </c>
      <c r="X13" s="88">
        <f>R13</f>
        <v>39390656304.260002</v>
      </c>
      <c r="Y13" s="230">
        <v>13736756657</v>
      </c>
    </row>
    <row r="14" spans="1:26" s="2" customFormat="1" ht="18">
      <c r="A14" s="32" t="s">
        <v>12</v>
      </c>
      <c r="B14" s="33" t="s">
        <v>13</v>
      </c>
      <c r="C14" s="34">
        <f>C17+C42</f>
        <v>21301798694</v>
      </c>
      <c r="D14" s="34">
        <f>D17+D42</f>
        <v>0</v>
      </c>
      <c r="E14" s="34">
        <f>E17+E42</f>
        <v>0</v>
      </c>
      <c r="F14" s="34">
        <f t="shared" si="0"/>
        <v>21301798694</v>
      </c>
      <c r="G14" s="34">
        <f t="shared" ref="G14:I14" si="8">G17+G42</f>
        <v>13325882855</v>
      </c>
      <c r="H14" s="34">
        <f t="shared" si="8"/>
        <v>0</v>
      </c>
      <c r="I14" s="34">
        <f t="shared" si="8"/>
        <v>0</v>
      </c>
      <c r="J14" s="34">
        <f t="shared" ref="J14:J81" si="9">G14+H14+I14</f>
        <v>13325882855</v>
      </c>
      <c r="K14" s="34">
        <f t="shared" ref="K14:M14" si="10">K17+K42</f>
        <v>0</v>
      </c>
      <c r="L14" s="34">
        <f t="shared" si="10"/>
        <v>0</v>
      </c>
      <c r="M14" s="34">
        <f t="shared" si="10"/>
        <v>0</v>
      </c>
      <c r="N14" s="34">
        <f t="shared" si="3"/>
        <v>0</v>
      </c>
      <c r="O14" s="34">
        <f t="shared" ref="O14:O80" si="11">K14+G14</f>
        <v>13325882855</v>
      </c>
      <c r="P14" s="34">
        <f t="shared" si="4"/>
        <v>0</v>
      </c>
      <c r="Q14" s="34">
        <f t="shared" si="5"/>
        <v>0</v>
      </c>
      <c r="R14" s="34">
        <f t="shared" si="6"/>
        <v>13325882855</v>
      </c>
      <c r="S14" s="75">
        <f t="shared" ref="S14:S81" si="12">O14/C14*100</f>
        <v>62.55754758753519</v>
      </c>
      <c r="T14" s="75">
        <v>0</v>
      </c>
      <c r="U14" s="75">
        <v>0</v>
      </c>
      <c r="V14" s="75">
        <f t="shared" ref="V14:V81" si="13">R14/F14*100</f>
        <v>62.55754758753519</v>
      </c>
      <c r="W14" s="34">
        <f t="shared" si="7"/>
        <v>7975915839</v>
      </c>
      <c r="X14" s="89">
        <f>X13-Y13</f>
        <v>25653899647.260002</v>
      </c>
      <c r="Y14" s="90"/>
      <c r="Z14" s="233"/>
    </row>
    <row r="15" spans="1:26" s="3" customFormat="1" ht="21" customHeight="1">
      <c r="A15" s="35" t="s">
        <v>35</v>
      </c>
      <c r="B15" s="36" t="s">
        <v>36</v>
      </c>
      <c r="C15" s="37">
        <f>C16</f>
        <v>21301798694</v>
      </c>
      <c r="D15" s="37">
        <f>D16</f>
        <v>0</v>
      </c>
      <c r="E15" s="37">
        <f>E16</f>
        <v>0</v>
      </c>
      <c r="F15" s="37">
        <f t="shared" si="0"/>
        <v>21301798694</v>
      </c>
      <c r="G15" s="37">
        <f t="shared" ref="G15:I15" si="14">G16</f>
        <v>13325882855</v>
      </c>
      <c r="H15" s="37">
        <f t="shared" si="14"/>
        <v>0</v>
      </c>
      <c r="I15" s="37">
        <f t="shared" si="14"/>
        <v>0</v>
      </c>
      <c r="J15" s="37">
        <f t="shared" si="9"/>
        <v>13325882855</v>
      </c>
      <c r="K15" s="37">
        <f t="shared" ref="K15:M15" si="15">K16</f>
        <v>0</v>
      </c>
      <c r="L15" s="37">
        <f t="shared" si="15"/>
        <v>0</v>
      </c>
      <c r="M15" s="37">
        <f t="shared" si="15"/>
        <v>0</v>
      </c>
      <c r="N15" s="37">
        <f t="shared" si="3"/>
        <v>0</v>
      </c>
      <c r="O15" s="37">
        <f t="shared" si="11"/>
        <v>13325882855</v>
      </c>
      <c r="P15" s="37">
        <f t="shared" si="4"/>
        <v>0</v>
      </c>
      <c r="Q15" s="37">
        <f t="shared" si="5"/>
        <v>0</v>
      </c>
      <c r="R15" s="37">
        <f t="shared" si="6"/>
        <v>13325882855</v>
      </c>
      <c r="S15" s="76">
        <f t="shared" si="12"/>
        <v>62.55754758753519</v>
      </c>
      <c r="T15" s="76">
        <v>0</v>
      </c>
      <c r="U15" s="76">
        <v>0</v>
      </c>
      <c r="V15" s="76">
        <f t="shared" si="13"/>
        <v>62.55754758753519</v>
      </c>
      <c r="W15" s="37">
        <f t="shared" si="7"/>
        <v>7975915839</v>
      </c>
      <c r="X15" s="232"/>
      <c r="Y15" s="90"/>
      <c r="Z15" s="246"/>
    </row>
    <row r="16" spans="1:26" s="4" customFormat="1" ht="20.25" customHeight="1">
      <c r="A16" s="38" t="s">
        <v>37</v>
      </c>
      <c r="B16" s="39" t="s">
        <v>38</v>
      </c>
      <c r="C16" s="40">
        <f>C17+C42</f>
        <v>21301798694</v>
      </c>
      <c r="D16" s="40">
        <f>D17+D42</f>
        <v>0</v>
      </c>
      <c r="E16" s="40">
        <f>E17+E42</f>
        <v>0</v>
      </c>
      <c r="F16" s="40">
        <f t="shared" si="0"/>
        <v>21301798694</v>
      </c>
      <c r="G16" s="40">
        <f t="shared" ref="G16:I16" si="16">G17+G42</f>
        <v>13325882855</v>
      </c>
      <c r="H16" s="40">
        <f t="shared" si="16"/>
        <v>0</v>
      </c>
      <c r="I16" s="40">
        <f t="shared" si="16"/>
        <v>0</v>
      </c>
      <c r="J16" s="40">
        <f t="shared" si="9"/>
        <v>13325882855</v>
      </c>
      <c r="K16" s="40">
        <f t="shared" ref="K16:M16" si="17">K17+K42</f>
        <v>0</v>
      </c>
      <c r="L16" s="40">
        <f t="shared" si="17"/>
        <v>0</v>
      </c>
      <c r="M16" s="40">
        <f t="shared" si="17"/>
        <v>0</v>
      </c>
      <c r="N16" s="40">
        <f t="shared" si="3"/>
        <v>0</v>
      </c>
      <c r="O16" s="40">
        <f>K16+G16</f>
        <v>13325882855</v>
      </c>
      <c r="P16" s="40">
        <f t="shared" si="4"/>
        <v>0</v>
      </c>
      <c r="Q16" s="40">
        <f t="shared" si="5"/>
        <v>0</v>
      </c>
      <c r="R16" s="40">
        <f>SUM(O16:Q16)</f>
        <v>13325882855</v>
      </c>
      <c r="S16" s="77">
        <f t="shared" si="12"/>
        <v>62.55754758753519</v>
      </c>
      <c r="T16" s="77">
        <v>0</v>
      </c>
      <c r="U16" s="77">
        <v>0</v>
      </c>
      <c r="V16" s="77">
        <f t="shared" si="13"/>
        <v>62.55754758753519</v>
      </c>
      <c r="W16" s="40">
        <f t="shared" si="7"/>
        <v>7975915839</v>
      </c>
      <c r="X16" s="91"/>
      <c r="Y16" s="231"/>
      <c r="Z16" s="231"/>
    </row>
    <row r="17" spans="1:27" s="2" customFormat="1">
      <c r="A17" s="41" t="s">
        <v>39</v>
      </c>
      <c r="B17" s="42" t="s">
        <v>40</v>
      </c>
      <c r="C17" s="43">
        <f>SUM(C18:C41)</f>
        <v>20816878694</v>
      </c>
      <c r="D17" s="43">
        <f>SUM(D18:D41)</f>
        <v>0</v>
      </c>
      <c r="E17" s="43">
        <f>SUM(E18:E41)</f>
        <v>0</v>
      </c>
      <c r="F17" s="43">
        <f t="shared" si="0"/>
        <v>20816878694</v>
      </c>
      <c r="G17" s="43">
        <f t="shared" ref="G17:I17" si="18">SUM(G18:G41)</f>
        <v>13049802855</v>
      </c>
      <c r="H17" s="43">
        <f t="shared" si="18"/>
        <v>0</v>
      </c>
      <c r="I17" s="43">
        <f t="shared" si="18"/>
        <v>0</v>
      </c>
      <c r="J17" s="43">
        <f t="shared" si="9"/>
        <v>13049802855</v>
      </c>
      <c r="K17" s="43">
        <f t="shared" ref="K17:M17" si="19">SUM(K18:K41)</f>
        <v>0</v>
      </c>
      <c r="L17" s="43">
        <f t="shared" si="19"/>
        <v>0</v>
      </c>
      <c r="M17" s="43">
        <f t="shared" si="19"/>
        <v>0</v>
      </c>
      <c r="N17" s="43">
        <f t="shared" si="3"/>
        <v>0</v>
      </c>
      <c r="O17" s="43">
        <f t="shared" si="11"/>
        <v>13049802855</v>
      </c>
      <c r="P17" s="43">
        <f t="shared" si="4"/>
        <v>0</v>
      </c>
      <c r="Q17" s="43">
        <f t="shared" si="5"/>
        <v>0</v>
      </c>
      <c r="R17" s="43">
        <f t="shared" si="6"/>
        <v>13049802855</v>
      </c>
      <c r="S17" s="78">
        <f t="shared" si="12"/>
        <v>62.688566556144245</v>
      </c>
      <c r="T17" s="78">
        <v>0</v>
      </c>
      <c r="U17" s="78">
        <v>0</v>
      </c>
      <c r="V17" s="78">
        <f t="shared" si="13"/>
        <v>62.688566556144245</v>
      </c>
      <c r="W17" s="43">
        <f t="shared" si="7"/>
        <v>7767075839</v>
      </c>
      <c r="X17" s="92"/>
      <c r="Y17" s="20"/>
      <c r="Z17" s="20"/>
      <c r="AA17" s="64"/>
    </row>
    <row r="18" spans="1:27">
      <c r="A18" s="44" t="s">
        <v>41</v>
      </c>
      <c r="B18" s="45" t="s">
        <v>42</v>
      </c>
      <c r="C18" s="46">
        <f>4220976004-15000006</f>
        <v>4205975998</v>
      </c>
      <c r="D18" s="46">
        <v>0</v>
      </c>
      <c r="E18" s="46">
        <v>0</v>
      </c>
      <c r="F18" s="46">
        <f t="shared" si="0"/>
        <v>4205975998</v>
      </c>
      <c r="G18" s="47">
        <v>2982746813</v>
      </c>
      <c r="H18" s="47">
        <v>0</v>
      </c>
      <c r="I18" s="47">
        <v>0</v>
      </c>
      <c r="J18" s="47">
        <f t="shared" si="9"/>
        <v>2982746813</v>
      </c>
      <c r="K18" s="47"/>
      <c r="L18" s="47"/>
      <c r="M18" s="47"/>
      <c r="N18" s="47">
        <f t="shared" si="3"/>
        <v>0</v>
      </c>
      <c r="O18" s="47">
        <f t="shared" si="11"/>
        <v>2982746813</v>
      </c>
      <c r="P18" s="47">
        <f t="shared" si="4"/>
        <v>0</v>
      </c>
      <c r="Q18" s="47">
        <f t="shared" si="5"/>
        <v>0</v>
      </c>
      <c r="R18" s="47">
        <f t="shared" si="6"/>
        <v>2982746813</v>
      </c>
      <c r="S18" s="79">
        <f t="shared" si="12"/>
        <v>70.916876711097203</v>
      </c>
      <c r="T18" s="79">
        <v>0</v>
      </c>
      <c r="U18" s="79">
        <v>0</v>
      </c>
      <c r="V18" s="79">
        <f t="shared" si="13"/>
        <v>70.916876711097203</v>
      </c>
      <c r="W18" s="47">
        <f t="shared" si="7"/>
        <v>1223229185</v>
      </c>
      <c r="X18" s="247">
        <f>G18+K18</f>
        <v>2982746813</v>
      </c>
      <c r="Y18" s="247">
        <f t="shared" ref="Y18:Y85" si="20">H18+L18</f>
        <v>0</v>
      </c>
      <c r="Z18" s="247">
        <f t="shared" ref="Z18:Z85" si="21">I18+M18</f>
        <v>0</v>
      </c>
      <c r="AA18" s="94"/>
    </row>
    <row r="19" spans="1:27">
      <c r="A19" s="44" t="s">
        <v>43</v>
      </c>
      <c r="B19" s="45" t="s">
        <v>44</v>
      </c>
      <c r="C19" s="46">
        <v>554516200</v>
      </c>
      <c r="D19" s="46">
        <v>0</v>
      </c>
      <c r="E19" s="46">
        <v>0</v>
      </c>
      <c r="F19" s="46">
        <f t="shared" si="0"/>
        <v>554516200</v>
      </c>
      <c r="G19" s="47">
        <v>376483254</v>
      </c>
      <c r="H19" s="46">
        <v>0</v>
      </c>
      <c r="I19" s="46">
        <v>0</v>
      </c>
      <c r="J19" s="47">
        <f t="shared" si="9"/>
        <v>376483254</v>
      </c>
      <c r="K19" s="47"/>
      <c r="L19" s="47"/>
      <c r="M19" s="47"/>
      <c r="N19" s="47">
        <f t="shared" si="3"/>
        <v>0</v>
      </c>
      <c r="O19" s="47">
        <f t="shared" si="11"/>
        <v>376483254</v>
      </c>
      <c r="P19" s="47">
        <f t="shared" si="4"/>
        <v>0</v>
      </c>
      <c r="Q19" s="47">
        <f t="shared" si="5"/>
        <v>0</v>
      </c>
      <c r="R19" s="47">
        <f t="shared" si="6"/>
        <v>376483254</v>
      </c>
      <c r="S19" s="79">
        <f t="shared" si="12"/>
        <v>67.894004539452595</v>
      </c>
      <c r="T19" s="79">
        <v>0</v>
      </c>
      <c r="U19" s="79">
        <v>0</v>
      </c>
      <c r="V19" s="79">
        <f t="shared" si="13"/>
        <v>67.894004539452595</v>
      </c>
      <c r="W19" s="47">
        <f t="shared" si="7"/>
        <v>178032946</v>
      </c>
      <c r="X19" s="247">
        <f t="shared" ref="X19:X86" si="22">G19+K19</f>
        <v>376483254</v>
      </c>
      <c r="Y19" s="247">
        <f t="shared" si="20"/>
        <v>0</v>
      </c>
      <c r="Z19" s="247">
        <f t="shared" si="21"/>
        <v>0</v>
      </c>
      <c r="AA19" s="94"/>
    </row>
    <row r="20" spans="1:27">
      <c r="A20" s="44" t="s">
        <v>45</v>
      </c>
      <c r="B20" s="45" t="s">
        <v>46</v>
      </c>
      <c r="C20" s="46">
        <f>389794006+8000006</f>
        <v>397794012</v>
      </c>
      <c r="D20" s="46">
        <v>0</v>
      </c>
      <c r="E20" s="46">
        <v>0</v>
      </c>
      <c r="F20" s="46">
        <f t="shared" si="0"/>
        <v>397794012</v>
      </c>
      <c r="G20" s="47">
        <v>284256060</v>
      </c>
      <c r="H20" s="47">
        <v>0</v>
      </c>
      <c r="I20" s="47">
        <v>0</v>
      </c>
      <c r="J20" s="47">
        <f t="shared" si="9"/>
        <v>284256060</v>
      </c>
      <c r="K20" s="47"/>
      <c r="L20" s="47"/>
      <c r="M20" s="47"/>
      <c r="N20" s="47">
        <f t="shared" si="3"/>
        <v>0</v>
      </c>
      <c r="O20" s="47">
        <f t="shared" si="11"/>
        <v>284256060</v>
      </c>
      <c r="P20" s="47">
        <f t="shared" si="4"/>
        <v>0</v>
      </c>
      <c r="Q20" s="47">
        <f t="shared" si="5"/>
        <v>0</v>
      </c>
      <c r="R20" s="47">
        <f t="shared" si="6"/>
        <v>284256060</v>
      </c>
      <c r="S20" s="79">
        <f t="shared" si="12"/>
        <v>71.458104301479537</v>
      </c>
      <c r="T20" s="79">
        <v>0</v>
      </c>
      <c r="U20" s="79">
        <v>0</v>
      </c>
      <c r="V20" s="79">
        <f t="shared" si="13"/>
        <v>71.458104301479537</v>
      </c>
      <c r="W20" s="47">
        <f t="shared" si="7"/>
        <v>113537952</v>
      </c>
      <c r="X20" s="247">
        <f t="shared" si="22"/>
        <v>284256060</v>
      </c>
      <c r="Y20" s="247">
        <f t="shared" si="20"/>
        <v>0</v>
      </c>
      <c r="Z20" s="247">
        <f t="shared" si="21"/>
        <v>0</v>
      </c>
      <c r="AA20" s="94"/>
    </row>
    <row r="21" spans="1:27">
      <c r="A21" s="44" t="s">
        <v>47</v>
      </c>
      <c r="B21" s="45" t="s">
        <v>48</v>
      </c>
      <c r="C21" s="46">
        <v>75600000</v>
      </c>
      <c r="D21" s="46">
        <v>0</v>
      </c>
      <c r="E21" s="46">
        <v>0</v>
      </c>
      <c r="F21" s="46">
        <f t="shared" si="0"/>
        <v>75600000</v>
      </c>
      <c r="G21" s="47">
        <v>42956040</v>
      </c>
      <c r="H21" s="46">
        <v>0</v>
      </c>
      <c r="I21" s="46">
        <v>0</v>
      </c>
      <c r="J21" s="47">
        <f t="shared" si="9"/>
        <v>42956040</v>
      </c>
      <c r="K21" s="47"/>
      <c r="L21" s="47"/>
      <c r="M21" s="47"/>
      <c r="N21" s="47">
        <f t="shared" si="3"/>
        <v>0</v>
      </c>
      <c r="O21" s="47">
        <f t="shared" si="11"/>
        <v>42956040</v>
      </c>
      <c r="P21" s="47">
        <f t="shared" si="4"/>
        <v>0</v>
      </c>
      <c r="Q21" s="47">
        <f t="shared" si="5"/>
        <v>0</v>
      </c>
      <c r="R21" s="47">
        <f t="shared" si="6"/>
        <v>42956040</v>
      </c>
      <c r="S21" s="79">
        <f t="shared" si="12"/>
        <v>56.820158730158731</v>
      </c>
      <c r="T21" s="79">
        <v>0</v>
      </c>
      <c r="U21" s="79">
        <v>0</v>
      </c>
      <c r="V21" s="79">
        <f t="shared" si="13"/>
        <v>56.820158730158731</v>
      </c>
      <c r="W21" s="47">
        <f t="shared" si="7"/>
        <v>32643960</v>
      </c>
      <c r="X21" s="247">
        <f t="shared" si="22"/>
        <v>42956040</v>
      </c>
      <c r="Y21" s="247">
        <f t="shared" si="20"/>
        <v>0</v>
      </c>
      <c r="Z21" s="247">
        <f t="shared" si="21"/>
        <v>0</v>
      </c>
      <c r="AA21" s="93"/>
    </row>
    <row r="22" spans="1:27">
      <c r="A22" s="44" t="s">
        <v>49</v>
      </c>
      <c r="B22" s="45" t="s">
        <v>50</v>
      </c>
      <c r="C22" s="46">
        <v>349710004</v>
      </c>
      <c r="D22" s="46">
        <v>0</v>
      </c>
      <c r="E22" s="46">
        <v>0</v>
      </c>
      <c r="F22" s="46">
        <f t="shared" si="0"/>
        <v>349710004</v>
      </c>
      <c r="G22" s="47">
        <v>222700000</v>
      </c>
      <c r="H22" s="47">
        <v>0</v>
      </c>
      <c r="I22" s="47">
        <v>0</v>
      </c>
      <c r="J22" s="47">
        <f t="shared" si="9"/>
        <v>222700000</v>
      </c>
      <c r="K22" s="47"/>
      <c r="L22" s="47"/>
      <c r="M22" s="47"/>
      <c r="N22" s="47">
        <f t="shared" si="3"/>
        <v>0</v>
      </c>
      <c r="O22" s="47">
        <f t="shared" si="11"/>
        <v>222700000</v>
      </c>
      <c r="P22" s="47">
        <f t="shared" si="4"/>
        <v>0</v>
      </c>
      <c r="Q22" s="47">
        <f t="shared" si="5"/>
        <v>0</v>
      </c>
      <c r="R22" s="47">
        <f t="shared" si="6"/>
        <v>222700000</v>
      </c>
      <c r="S22" s="79">
        <f t="shared" si="12"/>
        <v>63.681335235694313</v>
      </c>
      <c r="T22" s="79">
        <v>0</v>
      </c>
      <c r="U22" s="79">
        <v>0</v>
      </c>
      <c r="V22" s="79">
        <f t="shared" si="13"/>
        <v>63.681335235694313</v>
      </c>
      <c r="W22" s="47">
        <f t="shared" si="7"/>
        <v>127010004</v>
      </c>
      <c r="X22" s="247">
        <f t="shared" si="22"/>
        <v>222700000</v>
      </c>
      <c r="Y22" s="247">
        <f t="shared" si="20"/>
        <v>0</v>
      </c>
      <c r="Z22" s="247">
        <f t="shared" si="21"/>
        <v>0</v>
      </c>
      <c r="AA22" s="93"/>
    </row>
    <row r="23" spans="1:27">
      <c r="A23" s="44" t="s">
        <v>51</v>
      </c>
      <c r="B23" s="45" t="s">
        <v>52</v>
      </c>
      <c r="C23" s="46">
        <f>59840004-3000004</f>
        <v>56840000</v>
      </c>
      <c r="D23" s="46">
        <v>0</v>
      </c>
      <c r="E23" s="46">
        <v>0</v>
      </c>
      <c r="F23" s="46">
        <f t="shared" si="0"/>
        <v>56840000</v>
      </c>
      <c r="G23" s="47">
        <v>31240000</v>
      </c>
      <c r="H23" s="47">
        <v>0</v>
      </c>
      <c r="I23" s="47">
        <v>0</v>
      </c>
      <c r="J23" s="47">
        <f t="shared" si="9"/>
        <v>31240000</v>
      </c>
      <c r="K23" s="47"/>
      <c r="L23" s="47"/>
      <c r="M23" s="47"/>
      <c r="N23" s="47">
        <f t="shared" si="3"/>
        <v>0</v>
      </c>
      <c r="O23" s="47">
        <f t="shared" si="11"/>
        <v>31240000</v>
      </c>
      <c r="P23" s="47">
        <f t="shared" si="4"/>
        <v>0</v>
      </c>
      <c r="Q23" s="47">
        <f t="shared" si="5"/>
        <v>0</v>
      </c>
      <c r="R23" s="47">
        <f t="shared" si="6"/>
        <v>31240000</v>
      </c>
      <c r="S23" s="79">
        <f t="shared" si="12"/>
        <v>54.961294862772689</v>
      </c>
      <c r="T23" s="79">
        <v>0</v>
      </c>
      <c r="U23" s="79">
        <v>0</v>
      </c>
      <c r="V23" s="79">
        <f t="shared" si="13"/>
        <v>54.961294862772689</v>
      </c>
      <c r="W23" s="47">
        <f t="shared" si="7"/>
        <v>25600000</v>
      </c>
      <c r="X23" s="247">
        <f t="shared" si="22"/>
        <v>31240000</v>
      </c>
      <c r="Y23" s="247">
        <f t="shared" si="20"/>
        <v>0</v>
      </c>
      <c r="Z23" s="247">
        <f t="shared" si="21"/>
        <v>0</v>
      </c>
      <c r="AA23" s="93"/>
    </row>
    <row r="24" spans="1:27">
      <c r="A24" s="44" t="s">
        <v>53</v>
      </c>
      <c r="B24" s="45" t="s">
        <v>54</v>
      </c>
      <c r="C24" s="46">
        <f>95760000-1999998</f>
        <v>93760002</v>
      </c>
      <c r="D24" s="46">
        <v>0</v>
      </c>
      <c r="E24" s="46">
        <v>0</v>
      </c>
      <c r="F24" s="46">
        <f t="shared" si="0"/>
        <v>93760002</v>
      </c>
      <c r="G24" s="47">
        <v>58480000</v>
      </c>
      <c r="H24" s="46">
        <v>0</v>
      </c>
      <c r="I24" s="46">
        <v>0</v>
      </c>
      <c r="J24" s="47">
        <f t="shared" si="9"/>
        <v>58480000</v>
      </c>
      <c r="K24" s="47"/>
      <c r="L24" s="47"/>
      <c r="M24" s="47"/>
      <c r="N24" s="47">
        <f t="shared" si="3"/>
        <v>0</v>
      </c>
      <c r="O24" s="47">
        <f t="shared" si="11"/>
        <v>58480000</v>
      </c>
      <c r="P24" s="47">
        <f t="shared" si="4"/>
        <v>0</v>
      </c>
      <c r="Q24" s="47">
        <f t="shared" si="5"/>
        <v>0</v>
      </c>
      <c r="R24" s="47">
        <f t="shared" si="6"/>
        <v>58480000</v>
      </c>
      <c r="S24" s="79">
        <f t="shared" si="12"/>
        <v>62.372012321416115</v>
      </c>
      <c r="T24" s="79">
        <v>0</v>
      </c>
      <c r="U24" s="79">
        <v>0</v>
      </c>
      <c r="V24" s="79">
        <f t="shared" si="13"/>
        <v>62.372012321416115</v>
      </c>
      <c r="W24" s="47">
        <f t="shared" si="7"/>
        <v>35280002</v>
      </c>
      <c r="X24" s="247">
        <f t="shared" si="22"/>
        <v>58480000</v>
      </c>
      <c r="Y24" s="247">
        <f t="shared" si="20"/>
        <v>0</v>
      </c>
      <c r="Z24" s="247">
        <f t="shared" si="21"/>
        <v>0</v>
      </c>
      <c r="AA24" s="93"/>
    </row>
    <row r="25" spans="1:27">
      <c r="A25" s="44" t="s">
        <v>55</v>
      </c>
      <c r="B25" s="45" t="s">
        <v>56</v>
      </c>
      <c r="C25" s="46">
        <v>103033000</v>
      </c>
      <c r="D25" s="46">
        <v>0</v>
      </c>
      <c r="E25" s="46">
        <v>0</v>
      </c>
      <c r="F25" s="46">
        <f t="shared" si="0"/>
        <v>103033000</v>
      </c>
      <c r="G25" s="47">
        <v>68315000</v>
      </c>
      <c r="H25" s="47">
        <v>0</v>
      </c>
      <c r="I25" s="47">
        <v>0</v>
      </c>
      <c r="J25" s="47">
        <f t="shared" si="9"/>
        <v>68315000</v>
      </c>
      <c r="K25" s="47"/>
      <c r="L25" s="47"/>
      <c r="M25" s="47"/>
      <c r="N25" s="47">
        <f t="shared" si="3"/>
        <v>0</v>
      </c>
      <c r="O25" s="47">
        <f t="shared" si="11"/>
        <v>68315000</v>
      </c>
      <c r="P25" s="47">
        <f t="shared" si="4"/>
        <v>0</v>
      </c>
      <c r="Q25" s="47">
        <f t="shared" si="5"/>
        <v>0</v>
      </c>
      <c r="R25" s="47">
        <f t="shared" si="6"/>
        <v>68315000</v>
      </c>
      <c r="S25" s="79">
        <f t="shared" si="12"/>
        <v>66.303999689419896</v>
      </c>
      <c r="T25" s="79">
        <v>0</v>
      </c>
      <c r="U25" s="79">
        <v>0</v>
      </c>
      <c r="V25" s="79">
        <f t="shared" si="13"/>
        <v>66.303999689419896</v>
      </c>
      <c r="W25" s="47">
        <f t="shared" si="7"/>
        <v>34718000</v>
      </c>
      <c r="X25" s="247">
        <f t="shared" si="22"/>
        <v>68315000</v>
      </c>
      <c r="Y25" s="247">
        <f t="shared" si="20"/>
        <v>0</v>
      </c>
      <c r="Z25" s="247">
        <f t="shared" si="21"/>
        <v>0</v>
      </c>
      <c r="AA25" s="93"/>
    </row>
    <row r="26" spans="1:27">
      <c r="A26" s="44" t="s">
        <v>57</v>
      </c>
      <c r="B26" s="45" t="s">
        <v>58</v>
      </c>
      <c r="C26" s="46">
        <v>227591000</v>
      </c>
      <c r="D26" s="46">
        <v>0</v>
      </c>
      <c r="E26" s="46">
        <v>0</v>
      </c>
      <c r="F26" s="46">
        <f t="shared" si="0"/>
        <v>227591000</v>
      </c>
      <c r="G26" s="47">
        <v>150850860</v>
      </c>
      <c r="H26" s="47">
        <v>0</v>
      </c>
      <c r="I26" s="47">
        <v>0</v>
      </c>
      <c r="J26" s="47">
        <f t="shared" si="9"/>
        <v>150850860</v>
      </c>
      <c r="K26" s="47"/>
      <c r="L26" s="47"/>
      <c r="M26" s="47"/>
      <c r="N26" s="47">
        <f t="shared" si="3"/>
        <v>0</v>
      </c>
      <c r="O26" s="47">
        <f t="shared" si="11"/>
        <v>150850860</v>
      </c>
      <c r="P26" s="47">
        <f t="shared" si="4"/>
        <v>0</v>
      </c>
      <c r="Q26" s="47">
        <f t="shared" si="5"/>
        <v>0</v>
      </c>
      <c r="R26" s="47">
        <f t="shared" si="6"/>
        <v>150850860</v>
      </c>
      <c r="S26" s="79">
        <f t="shared" si="12"/>
        <v>66.281557706587691</v>
      </c>
      <c r="T26" s="79">
        <v>0</v>
      </c>
      <c r="U26" s="79">
        <v>0</v>
      </c>
      <c r="V26" s="79">
        <f t="shared" si="13"/>
        <v>66.281557706587691</v>
      </c>
      <c r="W26" s="47">
        <f t="shared" si="7"/>
        <v>76740140</v>
      </c>
      <c r="X26" s="247">
        <f t="shared" si="22"/>
        <v>150850860</v>
      </c>
      <c r="Y26" s="247">
        <f t="shared" si="20"/>
        <v>0</v>
      </c>
      <c r="Z26" s="247">
        <f t="shared" si="21"/>
        <v>0</v>
      </c>
      <c r="AA26" s="93"/>
    </row>
    <row r="27" spans="1:27">
      <c r="A27" s="44" t="s">
        <v>57</v>
      </c>
      <c r="B27" s="45" t="s">
        <v>59</v>
      </c>
      <c r="C27" s="46">
        <v>53900000</v>
      </c>
      <c r="D27" s="46">
        <v>0</v>
      </c>
      <c r="E27" s="46">
        <v>0</v>
      </c>
      <c r="F27" s="46">
        <f t="shared" si="0"/>
        <v>53900000</v>
      </c>
      <c r="G27" s="47">
        <v>26722980</v>
      </c>
      <c r="H27" s="46">
        <v>0</v>
      </c>
      <c r="I27" s="46">
        <v>0</v>
      </c>
      <c r="J27" s="47">
        <f t="shared" si="9"/>
        <v>26722980</v>
      </c>
      <c r="K27" s="47"/>
      <c r="L27" s="47"/>
      <c r="M27" s="47"/>
      <c r="N27" s="47">
        <f t="shared" si="3"/>
        <v>0</v>
      </c>
      <c r="O27" s="47">
        <f t="shared" si="11"/>
        <v>26722980</v>
      </c>
      <c r="P27" s="47">
        <f t="shared" si="4"/>
        <v>0</v>
      </c>
      <c r="Q27" s="47">
        <f t="shared" si="5"/>
        <v>0</v>
      </c>
      <c r="R27" s="47">
        <f t="shared" si="6"/>
        <v>26722980</v>
      </c>
      <c r="S27" s="79">
        <f t="shared" si="12"/>
        <v>49.578812615955478</v>
      </c>
      <c r="T27" s="79">
        <v>0</v>
      </c>
      <c r="U27" s="79">
        <v>0</v>
      </c>
      <c r="V27" s="79">
        <f t="shared" si="13"/>
        <v>49.578812615955478</v>
      </c>
      <c r="W27" s="47">
        <f t="shared" si="7"/>
        <v>27177020</v>
      </c>
      <c r="X27" s="247">
        <f t="shared" si="22"/>
        <v>26722980</v>
      </c>
      <c r="Y27" s="247">
        <f t="shared" si="20"/>
        <v>0</v>
      </c>
      <c r="Z27" s="247">
        <f t="shared" si="21"/>
        <v>0</v>
      </c>
      <c r="AA27" s="93"/>
    </row>
    <row r="28" spans="1:27">
      <c r="A28" s="44" t="s">
        <v>60</v>
      </c>
      <c r="B28" s="45" t="s">
        <v>61</v>
      </c>
      <c r="C28" s="46">
        <f>24206000+24000004</f>
        <v>48206004</v>
      </c>
      <c r="D28" s="46">
        <v>0</v>
      </c>
      <c r="E28" s="46">
        <v>0</v>
      </c>
      <c r="F28" s="46">
        <f t="shared" si="0"/>
        <v>48206004</v>
      </c>
      <c r="G28" s="47">
        <v>5962145</v>
      </c>
      <c r="H28" s="47">
        <v>0</v>
      </c>
      <c r="I28" s="47">
        <v>0</v>
      </c>
      <c r="J28" s="47">
        <f t="shared" si="9"/>
        <v>5962145</v>
      </c>
      <c r="K28" s="47"/>
      <c r="L28" s="47"/>
      <c r="M28" s="47"/>
      <c r="N28" s="47">
        <f t="shared" si="3"/>
        <v>0</v>
      </c>
      <c r="O28" s="47">
        <f t="shared" si="11"/>
        <v>5962145</v>
      </c>
      <c r="P28" s="47">
        <f t="shared" si="4"/>
        <v>0</v>
      </c>
      <c r="Q28" s="47">
        <f t="shared" si="5"/>
        <v>0</v>
      </c>
      <c r="R28" s="47">
        <f t="shared" si="6"/>
        <v>5962145</v>
      </c>
      <c r="S28" s="79">
        <f t="shared" si="12"/>
        <v>12.368054817404072</v>
      </c>
      <c r="T28" s="79">
        <v>0</v>
      </c>
      <c r="U28" s="79">
        <v>0</v>
      </c>
      <c r="V28" s="79">
        <f t="shared" si="13"/>
        <v>12.368054817404072</v>
      </c>
      <c r="W28" s="47">
        <f t="shared" si="7"/>
        <v>42243859</v>
      </c>
      <c r="X28" s="247">
        <f t="shared" si="22"/>
        <v>5962145</v>
      </c>
      <c r="Y28" s="247">
        <f t="shared" si="20"/>
        <v>0</v>
      </c>
      <c r="Z28" s="247">
        <f t="shared" si="21"/>
        <v>0</v>
      </c>
      <c r="AA28" s="93"/>
    </row>
    <row r="29" spans="1:27">
      <c r="A29" s="44" t="s">
        <v>525</v>
      </c>
      <c r="B29" s="45" t="s">
        <v>526</v>
      </c>
      <c r="C29" s="46">
        <v>3000004</v>
      </c>
      <c r="D29" s="46"/>
      <c r="E29" s="46"/>
      <c r="F29" s="46">
        <f t="shared" si="0"/>
        <v>3000004</v>
      </c>
      <c r="G29" s="47">
        <v>0</v>
      </c>
      <c r="H29" s="47">
        <v>0</v>
      </c>
      <c r="I29" s="47">
        <v>0</v>
      </c>
      <c r="J29" s="47">
        <f t="shared" si="9"/>
        <v>0</v>
      </c>
      <c r="K29" s="47"/>
      <c r="L29" s="47"/>
      <c r="M29" s="47"/>
      <c r="N29" s="47">
        <f t="shared" ref="N29" si="23">SUM(K29:M29)</f>
        <v>0</v>
      </c>
      <c r="O29" s="47">
        <f t="shared" ref="O29" si="24">K29+G29</f>
        <v>0</v>
      </c>
      <c r="P29" s="47">
        <f t="shared" ref="P29" si="25">L29+H29</f>
        <v>0</v>
      </c>
      <c r="Q29" s="47">
        <f t="shared" ref="Q29" si="26">M29+I29</f>
        <v>0</v>
      </c>
      <c r="R29" s="47">
        <f t="shared" ref="R29" si="27">SUM(O29:Q29)</f>
        <v>0</v>
      </c>
      <c r="S29" s="79">
        <f t="shared" ref="S29" si="28">O29/C29*100</f>
        <v>0</v>
      </c>
      <c r="T29" s="79">
        <v>0</v>
      </c>
      <c r="U29" s="79">
        <v>0</v>
      </c>
      <c r="V29" s="79">
        <f t="shared" ref="V29" si="29">R29/F29*100</f>
        <v>0</v>
      </c>
      <c r="W29" s="47">
        <f t="shared" ref="W29" si="30">F29-R29</f>
        <v>3000004</v>
      </c>
      <c r="X29" s="247">
        <f t="shared" ref="X29" si="31">G29+K29</f>
        <v>0</v>
      </c>
      <c r="Y29" s="247">
        <f t="shared" si="20"/>
        <v>0</v>
      </c>
      <c r="Z29" s="247">
        <f t="shared" si="21"/>
        <v>0</v>
      </c>
      <c r="AA29" s="93"/>
    </row>
    <row r="30" spans="1:27">
      <c r="A30" s="44" t="s">
        <v>62</v>
      </c>
      <c r="B30" s="45" t="s">
        <v>63</v>
      </c>
      <c r="C30" s="46">
        <v>70000</v>
      </c>
      <c r="D30" s="46">
        <v>0</v>
      </c>
      <c r="E30" s="46">
        <v>0</v>
      </c>
      <c r="F30" s="46">
        <f t="shared" si="0"/>
        <v>70000</v>
      </c>
      <c r="G30" s="47">
        <v>36919</v>
      </c>
      <c r="H30" s="47">
        <v>0</v>
      </c>
      <c r="I30" s="47">
        <v>0</v>
      </c>
      <c r="J30" s="47">
        <f t="shared" si="9"/>
        <v>36919</v>
      </c>
      <c r="K30" s="47"/>
      <c r="L30" s="47"/>
      <c r="M30" s="47"/>
      <c r="N30" s="47">
        <f t="shared" si="3"/>
        <v>0</v>
      </c>
      <c r="O30" s="47">
        <f t="shared" si="11"/>
        <v>36919</v>
      </c>
      <c r="P30" s="47">
        <f t="shared" si="4"/>
        <v>0</v>
      </c>
      <c r="Q30" s="47">
        <f t="shared" si="5"/>
        <v>0</v>
      </c>
      <c r="R30" s="47">
        <f t="shared" si="6"/>
        <v>36919</v>
      </c>
      <c r="S30" s="79">
        <f t="shared" si="12"/>
        <v>52.741428571428571</v>
      </c>
      <c r="T30" s="79">
        <v>0</v>
      </c>
      <c r="U30" s="79">
        <v>0</v>
      </c>
      <c r="V30" s="79">
        <f t="shared" si="13"/>
        <v>52.741428571428571</v>
      </c>
      <c r="W30" s="47">
        <f t="shared" si="7"/>
        <v>33081</v>
      </c>
      <c r="X30" s="247">
        <f t="shared" si="22"/>
        <v>36919</v>
      </c>
      <c r="Y30" s="247">
        <f t="shared" si="20"/>
        <v>0</v>
      </c>
      <c r="Z30" s="247">
        <f t="shared" si="21"/>
        <v>0</v>
      </c>
      <c r="AA30" s="93"/>
    </row>
    <row r="31" spans="1:27">
      <c r="A31" s="44" t="s">
        <v>64</v>
      </c>
      <c r="B31" s="45" t="s">
        <v>65</v>
      </c>
      <c r="C31" s="46">
        <f>10000+2</f>
        <v>10002</v>
      </c>
      <c r="D31" s="46">
        <v>0</v>
      </c>
      <c r="E31" s="46">
        <v>0</v>
      </c>
      <c r="F31" s="46">
        <f t="shared" si="0"/>
        <v>10002</v>
      </c>
      <c r="G31" s="47">
        <v>4737</v>
      </c>
      <c r="H31" s="46">
        <v>0</v>
      </c>
      <c r="I31" s="46">
        <v>0</v>
      </c>
      <c r="J31" s="47">
        <f t="shared" si="9"/>
        <v>4737</v>
      </c>
      <c r="K31" s="47"/>
      <c r="L31" s="47"/>
      <c r="M31" s="47"/>
      <c r="N31" s="47">
        <f t="shared" si="3"/>
        <v>0</v>
      </c>
      <c r="O31" s="47">
        <f t="shared" si="11"/>
        <v>4737</v>
      </c>
      <c r="P31" s="47">
        <f t="shared" si="4"/>
        <v>0</v>
      </c>
      <c r="Q31" s="47">
        <f t="shared" si="5"/>
        <v>0</v>
      </c>
      <c r="R31" s="47">
        <f t="shared" si="6"/>
        <v>4737</v>
      </c>
      <c r="S31" s="79">
        <f t="shared" si="12"/>
        <v>47.360527894421118</v>
      </c>
      <c r="T31" s="79">
        <v>0</v>
      </c>
      <c r="U31" s="79">
        <v>0</v>
      </c>
      <c r="V31" s="79">
        <f t="shared" si="13"/>
        <v>47.360527894421118</v>
      </c>
      <c r="W31" s="47">
        <f t="shared" si="7"/>
        <v>5265</v>
      </c>
      <c r="X31" s="247">
        <f t="shared" si="22"/>
        <v>4737</v>
      </c>
      <c r="Y31" s="247">
        <f t="shared" si="20"/>
        <v>0</v>
      </c>
      <c r="Z31" s="247">
        <f t="shared" si="21"/>
        <v>0</v>
      </c>
      <c r="AA31" s="93"/>
    </row>
    <row r="32" spans="1:27">
      <c r="A32" s="44" t="s">
        <v>66</v>
      </c>
      <c r="B32" s="45" t="s">
        <v>67</v>
      </c>
      <c r="C32" s="46">
        <f>391387008+47490000</f>
        <v>438877008</v>
      </c>
      <c r="D32" s="46">
        <v>0</v>
      </c>
      <c r="E32" s="46">
        <v>0</v>
      </c>
      <c r="F32" s="46">
        <f t="shared" si="0"/>
        <v>438877008</v>
      </c>
      <c r="G32" s="47">
        <v>158152333</v>
      </c>
      <c r="H32" s="47">
        <v>0</v>
      </c>
      <c r="I32" s="47">
        <v>0</v>
      </c>
      <c r="J32" s="47">
        <f t="shared" si="9"/>
        <v>158152333</v>
      </c>
      <c r="K32" s="47"/>
      <c r="L32" s="47"/>
      <c r="M32" s="47"/>
      <c r="N32" s="47">
        <f t="shared" si="3"/>
        <v>0</v>
      </c>
      <c r="O32" s="47">
        <f t="shared" si="11"/>
        <v>158152333</v>
      </c>
      <c r="P32" s="47">
        <f t="shared" si="4"/>
        <v>0</v>
      </c>
      <c r="Q32" s="47">
        <f t="shared" si="5"/>
        <v>0</v>
      </c>
      <c r="R32" s="47">
        <f t="shared" si="6"/>
        <v>158152333</v>
      </c>
      <c r="S32" s="79">
        <f t="shared" si="12"/>
        <v>36.035684284468147</v>
      </c>
      <c r="T32" s="79">
        <v>0</v>
      </c>
      <c r="U32" s="79">
        <v>0</v>
      </c>
      <c r="V32" s="79">
        <f t="shared" si="13"/>
        <v>36.035684284468147</v>
      </c>
      <c r="W32" s="47">
        <f t="shared" si="7"/>
        <v>280724675</v>
      </c>
      <c r="X32" s="247">
        <f t="shared" si="22"/>
        <v>158152333</v>
      </c>
      <c r="Y32" s="247">
        <f t="shared" si="20"/>
        <v>0</v>
      </c>
      <c r="Z32" s="247">
        <f t="shared" si="21"/>
        <v>0</v>
      </c>
      <c r="AA32" s="93"/>
    </row>
    <row r="33" spans="1:27">
      <c r="A33" s="44" t="s">
        <v>68</v>
      </c>
      <c r="B33" s="45" t="s">
        <v>69</v>
      </c>
      <c r="C33" s="46">
        <v>43800000</v>
      </c>
      <c r="D33" s="46">
        <v>0</v>
      </c>
      <c r="E33" s="46">
        <v>0</v>
      </c>
      <c r="F33" s="46">
        <f t="shared" si="0"/>
        <v>43800000</v>
      </c>
      <c r="G33" s="47">
        <v>15992092</v>
      </c>
      <c r="H33" s="46">
        <v>0</v>
      </c>
      <c r="I33" s="46">
        <v>0</v>
      </c>
      <c r="J33" s="47">
        <f t="shared" si="9"/>
        <v>15992092</v>
      </c>
      <c r="K33" s="47"/>
      <c r="L33" s="47"/>
      <c r="M33" s="47"/>
      <c r="N33" s="47">
        <f t="shared" si="3"/>
        <v>0</v>
      </c>
      <c r="O33" s="47">
        <f t="shared" si="11"/>
        <v>15992092</v>
      </c>
      <c r="P33" s="47">
        <f t="shared" si="4"/>
        <v>0</v>
      </c>
      <c r="Q33" s="47">
        <f t="shared" si="5"/>
        <v>0</v>
      </c>
      <c r="R33" s="47">
        <f t="shared" si="6"/>
        <v>15992092</v>
      </c>
      <c r="S33" s="79">
        <f t="shared" si="12"/>
        <v>36.51162557077626</v>
      </c>
      <c r="T33" s="79">
        <v>0</v>
      </c>
      <c r="U33" s="79">
        <v>0</v>
      </c>
      <c r="V33" s="79">
        <f t="shared" si="13"/>
        <v>36.51162557077626</v>
      </c>
      <c r="W33" s="47">
        <f t="shared" si="7"/>
        <v>27807908</v>
      </c>
      <c r="X33" s="247">
        <f t="shared" si="22"/>
        <v>15992092</v>
      </c>
      <c r="Y33" s="247">
        <f t="shared" si="20"/>
        <v>0</v>
      </c>
      <c r="Z33" s="247">
        <f t="shared" si="21"/>
        <v>0</v>
      </c>
      <c r="AA33" s="93"/>
    </row>
    <row r="34" spans="1:27">
      <c r="A34" s="44" t="s">
        <v>70</v>
      </c>
      <c r="B34" s="45" t="s">
        <v>71</v>
      </c>
      <c r="C34" s="46">
        <v>8471364</v>
      </c>
      <c r="D34" s="46">
        <v>0</v>
      </c>
      <c r="E34" s="46">
        <v>0</v>
      </c>
      <c r="F34" s="46">
        <f t="shared" si="0"/>
        <v>8471364</v>
      </c>
      <c r="G34" s="47">
        <v>5619761</v>
      </c>
      <c r="H34" s="47">
        <v>0</v>
      </c>
      <c r="I34" s="47">
        <v>0</v>
      </c>
      <c r="J34" s="47">
        <f t="shared" si="9"/>
        <v>5619761</v>
      </c>
      <c r="K34" s="47"/>
      <c r="L34" s="47"/>
      <c r="M34" s="47"/>
      <c r="N34" s="47">
        <f t="shared" si="3"/>
        <v>0</v>
      </c>
      <c r="O34" s="47">
        <f t="shared" si="11"/>
        <v>5619761</v>
      </c>
      <c r="P34" s="47">
        <f t="shared" si="4"/>
        <v>0</v>
      </c>
      <c r="Q34" s="47">
        <f t="shared" si="5"/>
        <v>0</v>
      </c>
      <c r="R34" s="47">
        <f t="shared" si="6"/>
        <v>5619761</v>
      </c>
      <c r="S34" s="79">
        <f t="shared" si="12"/>
        <v>66.338325209494002</v>
      </c>
      <c r="T34" s="79">
        <v>0</v>
      </c>
      <c r="U34" s="79">
        <v>0</v>
      </c>
      <c r="V34" s="79">
        <f t="shared" si="13"/>
        <v>66.338325209494002</v>
      </c>
      <c r="W34" s="47">
        <f t="shared" si="7"/>
        <v>2851603</v>
      </c>
      <c r="X34" s="247">
        <f t="shared" si="22"/>
        <v>5619761</v>
      </c>
      <c r="Y34" s="247">
        <f t="shared" si="20"/>
        <v>0</v>
      </c>
      <c r="Z34" s="247">
        <f t="shared" si="21"/>
        <v>0</v>
      </c>
      <c r="AA34" s="93"/>
    </row>
    <row r="35" spans="1:27">
      <c r="A35" s="44" t="s">
        <v>72</v>
      </c>
      <c r="B35" s="45" t="s">
        <v>73</v>
      </c>
      <c r="C35" s="46">
        <v>1200000</v>
      </c>
      <c r="D35" s="46">
        <v>0</v>
      </c>
      <c r="E35" s="46">
        <v>0</v>
      </c>
      <c r="F35" s="46">
        <f t="shared" si="0"/>
        <v>1200000</v>
      </c>
      <c r="G35" s="47">
        <v>630645</v>
      </c>
      <c r="H35" s="46">
        <v>0</v>
      </c>
      <c r="I35" s="46">
        <v>0</v>
      </c>
      <c r="J35" s="47">
        <f t="shared" si="9"/>
        <v>630645</v>
      </c>
      <c r="K35" s="47"/>
      <c r="L35" s="47"/>
      <c r="M35" s="47"/>
      <c r="N35" s="47">
        <f t="shared" si="3"/>
        <v>0</v>
      </c>
      <c r="O35" s="47">
        <f t="shared" si="11"/>
        <v>630645</v>
      </c>
      <c r="P35" s="47">
        <f t="shared" si="4"/>
        <v>0</v>
      </c>
      <c r="Q35" s="47">
        <f t="shared" si="5"/>
        <v>0</v>
      </c>
      <c r="R35" s="47">
        <f t="shared" si="6"/>
        <v>630645</v>
      </c>
      <c r="S35" s="79">
        <f t="shared" si="12"/>
        <v>52.553750000000001</v>
      </c>
      <c r="T35" s="79">
        <v>0</v>
      </c>
      <c r="U35" s="79">
        <v>0</v>
      </c>
      <c r="V35" s="79">
        <f t="shared" si="13"/>
        <v>52.553750000000001</v>
      </c>
      <c r="W35" s="47">
        <f t="shared" si="7"/>
        <v>569355</v>
      </c>
      <c r="X35" s="247">
        <f t="shared" si="22"/>
        <v>630645</v>
      </c>
      <c r="Y35" s="247">
        <f t="shared" si="20"/>
        <v>0</v>
      </c>
      <c r="Z35" s="247">
        <f t="shared" si="21"/>
        <v>0</v>
      </c>
      <c r="AA35" s="93"/>
    </row>
    <row r="36" spans="1:27">
      <c r="A36" s="44" t="s">
        <v>74</v>
      </c>
      <c r="B36" s="45" t="s">
        <v>75</v>
      </c>
      <c r="C36" s="46">
        <v>25414104</v>
      </c>
      <c r="D36" s="46">
        <v>0</v>
      </c>
      <c r="E36" s="46">
        <v>0</v>
      </c>
      <c r="F36" s="46">
        <f t="shared" si="0"/>
        <v>25414104</v>
      </c>
      <c r="G36" s="47">
        <v>16859282</v>
      </c>
      <c r="H36" s="47">
        <v>0</v>
      </c>
      <c r="I36" s="47">
        <v>0</v>
      </c>
      <c r="J36" s="47">
        <f t="shared" si="9"/>
        <v>16859282</v>
      </c>
      <c r="K36" s="47"/>
      <c r="L36" s="47"/>
      <c r="M36" s="47"/>
      <c r="N36" s="47">
        <f t="shared" si="3"/>
        <v>0</v>
      </c>
      <c r="O36" s="47">
        <f t="shared" si="11"/>
        <v>16859282</v>
      </c>
      <c r="P36" s="47">
        <f t="shared" si="4"/>
        <v>0</v>
      </c>
      <c r="Q36" s="47">
        <f t="shared" si="5"/>
        <v>0</v>
      </c>
      <c r="R36" s="47">
        <f t="shared" si="6"/>
        <v>16859282</v>
      </c>
      <c r="S36" s="79">
        <f t="shared" si="12"/>
        <v>66.338289951123215</v>
      </c>
      <c r="T36" s="79">
        <v>0</v>
      </c>
      <c r="U36" s="79">
        <v>0</v>
      </c>
      <c r="V36" s="79">
        <f t="shared" si="13"/>
        <v>66.338289951123215</v>
      </c>
      <c r="W36" s="47">
        <f t="shared" si="7"/>
        <v>8554822</v>
      </c>
      <c r="X36" s="247">
        <f t="shared" si="22"/>
        <v>16859282</v>
      </c>
      <c r="Y36" s="247">
        <f t="shared" si="20"/>
        <v>0</v>
      </c>
      <c r="Z36" s="247">
        <f t="shared" si="21"/>
        <v>0</v>
      </c>
      <c r="AA36" s="93"/>
    </row>
    <row r="37" spans="1:27">
      <c r="A37" s="44" t="s">
        <v>76</v>
      </c>
      <c r="B37" s="45" t="s">
        <v>77</v>
      </c>
      <c r="C37" s="46">
        <v>3600000</v>
      </c>
      <c r="D37" s="46">
        <v>0</v>
      </c>
      <c r="E37" s="46">
        <v>0</v>
      </c>
      <c r="F37" s="46">
        <f t="shared" si="0"/>
        <v>3600000</v>
      </c>
      <c r="G37" s="47">
        <v>1891934</v>
      </c>
      <c r="H37" s="46">
        <v>0</v>
      </c>
      <c r="I37" s="46">
        <v>0</v>
      </c>
      <c r="J37" s="47">
        <f t="shared" si="9"/>
        <v>1891934</v>
      </c>
      <c r="K37" s="47"/>
      <c r="L37" s="47"/>
      <c r="M37" s="47"/>
      <c r="N37" s="47">
        <f t="shared" si="3"/>
        <v>0</v>
      </c>
      <c r="O37" s="47">
        <f t="shared" si="11"/>
        <v>1891934</v>
      </c>
      <c r="P37" s="47">
        <f t="shared" si="4"/>
        <v>0</v>
      </c>
      <c r="Q37" s="47">
        <f t="shared" si="5"/>
        <v>0</v>
      </c>
      <c r="R37" s="47">
        <f t="shared" si="6"/>
        <v>1891934</v>
      </c>
      <c r="S37" s="79">
        <f t="shared" si="12"/>
        <v>52.55372222222222</v>
      </c>
      <c r="T37" s="79">
        <v>0</v>
      </c>
      <c r="U37" s="79">
        <v>0</v>
      </c>
      <c r="V37" s="79">
        <f t="shared" si="13"/>
        <v>52.55372222222222</v>
      </c>
      <c r="W37" s="47">
        <f t="shared" si="7"/>
        <v>1708066</v>
      </c>
      <c r="X37" s="247">
        <f t="shared" si="22"/>
        <v>1891934</v>
      </c>
      <c r="Y37" s="247">
        <f t="shared" si="20"/>
        <v>0</v>
      </c>
      <c r="Z37" s="247">
        <f t="shared" si="21"/>
        <v>0</v>
      </c>
      <c r="AA37" s="93"/>
    </row>
    <row r="38" spans="1:27">
      <c r="A38" s="44" t="s">
        <v>78</v>
      </c>
      <c r="B38" s="45" t="s">
        <v>79</v>
      </c>
      <c r="C38" s="46">
        <v>12899250000</v>
      </c>
      <c r="D38" s="46">
        <v>0</v>
      </c>
      <c r="E38" s="46">
        <v>0</v>
      </c>
      <c r="F38" s="46">
        <f t="shared" si="0"/>
        <v>12899250000</v>
      </c>
      <c r="G38" s="48">
        <v>8034480000</v>
      </c>
      <c r="H38" s="47">
        <v>0</v>
      </c>
      <c r="I38" s="47">
        <v>0</v>
      </c>
      <c r="J38" s="47">
        <f t="shared" si="9"/>
        <v>8034480000</v>
      </c>
      <c r="K38" s="48"/>
      <c r="L38" s="47"/>
      <c r="M38" s="47"/>
      <c r="N38" s="47">
        <f t="shared" si="3"/>
        <v>0</v>
      </c>
      <c r="O38" s="47">
        <f t="shared" si="11"/>
        <v>8034480000</v>
      </c>
      <c r="P38" s="47">
        <f t="shared" si="4"/>
        <v>0</v>
      </c>
      <c r="Q38" s="47">
        <f t="shared" si="5"/>
        <v>0</v>
      </c>
      <c r="R38" s="47">
        <f t="shared" si="6"/>
        <v>8034480000</v>
      </c>
      <c r="S38" s="79">
        <f t="shared" si="12"/>
        <v>62.286412000697709</v>
      </c>
      <c r="T38" s="79">
        <v>0</v>
      </c>
      <c r="U38" s="79">
        <v>0</v>
      </c>
      <c r="V38" s="79">
        <f t="shared" si="13"/>
        <v>62.286412000697709</v>
      </c>
      <c r="W38" s="47">
        <f t="shared" si="7"/>
        <v>4864770000</v>
      </c>
      <c r="X38" s="247">
        <f t="shared" si="22"/>
        <v>8034480000</v>
      </c>
      <c r="Y38" s="247">
        <f t="shared" si="20"/>
        <v>0</v>
      </c>
      <c r="Z38" s="247">
        <f t="shared" si="21"/>
        <v>0</v>
      </c>
      <c r="AA38" s="93"/>
    </row>
    <row r="39" spans="1:27">
      <c r="A39" s="44" t="s">
        <v>80</v>
      </c>
      <c r="B39" s="45" t="s">
        <v>81</v>
      </c>
      <c r="C39" s="46">
        <f>469300000-8</f>
        <v>469299992</v>
      </c>
      <c r="D39" s="46">
        <v>0</v>
      </c>
      <c r="E39" s="46">
        <v>0</v>
      </c>
      <c r="F39" s="46">
        <f t="shared" si="0"/>
        <v>469299992</v>
      </c>
      <c r="G39" s="48">
        <v>283092000</v>
      </c>
      <c r="H39" s="46">
        <v>0</v>
      </c>
      <c r="I39" s="46">
        <v>0</v>
      </c>
      <c r="J39" s="47">
        <f t="shared" si="9"/>
        <v>283092000</v>
      </c>
      <c r="K39" s="48"/>
      <c r="L39" s="47"/>
      <c r="M39" s="47"/>
      <c r="N39" s="47">
        <f t="shared" si="3"/>
        <v>0</v>
      </c>
      <c r="O39" s="47">
        <f t="shared" si="11"/>
        <v>283092000</v>
      </c>
      <c r="P39" s="47">
        <f t="shared" si="4"/>
        <v>0</v>
      </c>
      <c r="Q39" s="47">
        <f t="shared" si="5"/>
        <v>0</v>
      </c>
      <c r="R39" s="47">
        <f t="shared" si="6"/>
        <v>283092000</v>
      </c>
      <c r="S39" s="79">
        <f t="shared" si="12"/>
        <v>60.322183001443562</v>
      </c>
      <c r="T39" s="79">
        <v>0</v>
      </c>
      <c r="U39" s="79">
        <v>0</v>
      </c>
      <c r="V39" s="79">
        <f t="shared" si="13"/>
        <v>60.322183001443562</v>
      </c>
      <c r="W39" s="47">
        <f t="shared" si="7"/>
        <v>186207992</v>
      </c>
      <c r="X39" s="247">
        <f t="shared" si="22"/>
        <v>283092000</v>
      </c>
      <c r="Y39" s="247">
        <f t="shared" si="20"/>
        <v>0</v>
      </c>
      <c r="Z39" s="247">
        <f t="shared" si="21"/>
        <v>0</v>
      </c>
      <c r="AA39" s="93"/>
    </row>
    <row r="40" spans="1:27">
      <c r="A40" s="44" t="s">
        <v>82</v>
      </c>
      <c r="B40" s="45" t="s">
        <v>83</v>
      </c>
      <c r="C40" s="46">
        <f>698490000-62490000</f>
        <v>636000000</v>
      </c>
      <c r="D40" s="46">
        <v>0</v>
      </c>
      <c r="E40" s="46">
        <v>0</v>
      </c>
      <c r="F40" s="46">
        <f t="shared" si="0"/>
        <v>636000000</v>
      </c>
      <c r="G40" s="48">
        <v>238590000</v>
      </c>
      <c r="H40" s="47">
        <v>0</v>
      </c>
      <c r="I40" s="47">
        <v>0</v>
      </c>
      <c r="J40" s="47">
        <f t="shared" si="9"/>
        <v>238590000</v>
      </c>
      <c r="K40" s="48"/>
      <c r="L40" s="47"/>
      <c r="M40" s="47"/>
      <c r="N40" s="47">
        <f t="shared" si="3"/>
        <v>0</v>
      </c>
      <c r="O40" s="47">
        <f t="shared" si="11"/>
        <v>238590000</v>
      </c>
      <c r="P40" s="47">
        <f t="shared" si="4"/>
        <v>0</v>
      </c>
      <c r="Q40" s="47">
        <f t="shared" si="5"/>
        <v>0</v>
      </c>
      <c r="R40" s="47">
        <f t="shared" si="6"/>
        <v>238590000</v>
      </c>
      <c r="S40" s="79">
        <f t="shared" si="12"/>
        <v>37.514150943396224</v>
      </c>
      <c r="T40" s="79">
        <v>0</v>
      </c>
      <c r="U40" s="79">
        <v>0</v>
      </c>
      <c r="V40" s="79">
        <f t="shared" si="13"/>
        <v>37.514150943396224</v>
      </c>
      <c r="W40" s="47">
        <f t="shared" si="7"/>
        <v>397410000</v>
      </c>
      <c r="X40" s="247">
        <f t="shared" si="22"/>
        <v>238590000</v>
      </c>
      <c r="Y40" s="247">
        <f t="shared" si="20"/>
        <v>0</v>
      </c>
      <c r="Z40" s="247">
        <f t="shared" si="21"/>
        <v>0</v>
      </c>
      <c r="AA40" s="93"/>
    </row>
    <row r="41" spans="1:27">
      <c r="A41" s="44" t="s">
        <v>84</v>
      </c>
      <c r="B41" s="45" t="s">
        <v>85</v>
      </c>
      <c r="C41" s="46">
        <v>120960000</v>
      </c>
      <c r="D41" s="46">
        <v>0</v>
      </c>
      <c r="E41" s="46">
        <v>0</v>
      </c>
      <c r="F41" s="46">
        <f t="shared" si="0"/>
        <v>120960000</v>
      </c>
      <c r="G41" s="48">
        <v>43740000</v>
      </c>
      <c r="H41" s="46">
        <v>0</v>
      </c>
      <c r="I41" s="46">
        <v>0</v>
      </c>
      <c r="J41" s="47">
        <f t="shared" si="9"/>
        <v>43740000</v>
      </c>
      <c r="K41" s="48"/>
      <c r="L41" s="47"/>
      <c r="M41" s="47"/>
      <c r="N41" s="47">
        <f t="shared" si="3"/>
        <v>0</v>
      </c>
      <c r="O41" s="47">
        <f t="shared" si="11"/>
        <v>43740000</v>
      </c>
      <c r="P41" s="47">
        <f t="shared" si="4"/>
        <v>0</v>
      </c>
      <c r="Q41" s="47">
        <f t="shared" si="5"/>
        <v>0</v>
      </c>
      <c r="R41" s="47">
        <f t="shared" si="6"/>
        <v>43740000</v>
      </c>
      <c r="S41" s="79">
        <f t="shared" si="12"/>
        <v>36.160714285714285</v>
      </c>
      <c r="T41" s="79">
        <v>0</v>
      </c>
      <c r="U41" s="79">
        <v>0</v>
      </c>
      <c r="V41" s="79">
        <f t="shared" si="13"/>
        <v>36.160714285714285</v>
      </c>
      <c r="W41" s="47">
        <f t="shared" si="7"/>
        <v>77220000</v>
      </c>
      <c r="X41" s="247">
        <f t="shared" si="22"/>
        <v>43740000</v>
      </c>
      <c r="Y41" s="247">
        <f t="shared" si="20"/>
        <v>0</v>
      </c>
      <c r="Z41" s="247">
        <f t="shared" si="21"/>
        <v>0</v>
      </c>
      <c r="AA41" s="93"/>
    </row>
    <row r="42" spans="1:27" s="2" customFormat="1">
      <c r="A42" s="41" t="s">
        <v>86</v>
      </c>
      <c r="B42" s="42" t="s">
        <v>87</v>
      </c>
      <c r="C42" s="43">
        <f>SUM(C43:C45)</f>
        <v>484920000</v>
      </c>
      <c r="D42" s="43">
        <f>SUM(D43:D45)</f>
        <v>0</v>
      </c>
      <c r="E42" s="43">
        <f>SUM(E43:E45)</f>
        <v>0</v>
      </c>
      <c r="F42" s="43">
        <f t="shared" si="0"/>
        <v>484920000</v>
      </c>
      <c r="G42" s="43">
        <f t="shared" ref="G42:H42" si="32">SUM(G43:G45)</f>
        <v>276080000</v>
      </c>
      <c r="H42" s="43">
        <f t="shared" si="32"/>
        <v>0</v>
      </c>
      <c r="I42" s="43">
        <f>SUM(I43:I45)</f>
        <v>0</v>
      </c>
      <c r="J42" s="43">
        <f t="shared" si="9"/>
        <v>276080000</v>
      </c>
      <c r="K42" s="43">
        <f t="shared" ref="K42" si="33">SUM(K43:K45)</f>
        <v>0</v>
      </c>
      <c r="L42" s="43">
        <f t="shared" ref="L42" si="34">SUM(L43:L45)</f>
        <v>0</v>
      </c>
      <c r="M42" s="43">
        <f>SUM(M43:M45)</f>
        <v>0</v>
      </c>
      <c r="N42" s="43">
        <f t="shared" si="3"/>
        <v>0</v>
      </c>
      <c r="O42" s="43">
        <f t="shared" si="11"/>
        <v>276080000</v>
      </c>
      <c r="P42" s="43">
        <f t="shared" si="4"/>
        <v>0</v>
      </c>
      <c r="Q42" s="43">
        <f t="shared" si="5"/>
        <v>0</v>
      </c>
      <c r="R42" s="43">
        <f t="shared" si="6"/>
        <v>276080000</v>
      </c>
      <c r="S42" s="78">
        <f t="shared" si="12"/>
        <v>56.933102367400814</v>
      </c>
      <c r="T42" s="78">
        <v>0</v>
      </c>
      <c r="U42" s="78">
        <v>0</v>
      </c>
      <c r="V42" s="78">
        <f t="shared" si="13"/>
        <v>56.933102367400814</v>
      </c>
      <c r="W42" s="43">
        <f t="shared" si="7"/>
        <v>208840000</v>
      </c>
      <c r="X42" s="247">
        <f t="shared" si="22"/>
        <v>276080000</v>
      </c>
      <c r="Y42" s="247">
        <f t="shared" si="20"/>
        <v>0</v>
      </c>
      <c r="Z42" s="247">
        <f t="shared" si="21"/>
        <v>0</v>
      </c>
      <c r="AA42" s="93"/>
    </row>
    <row r="43" spans="1:27">
      <c r="A43" s="44" t="s">
        <v>88</v>
      </c>
      <c r="B43" s="45" t="s">
        <v>89</v>
      </c>
      <c r="C43" s="46">
        <v>420120000</v>
      </c>
      <c r="D43" s="46">
        <v>0</v>
      </c>
      <c r="E43" s="46">
        <v>0</v>
      </c>
      <c r="F43" s="46">
        <f t="shared" si="0"/>
        <v>420120000</v>
      </c>
      <c r="G43" s="47">
        <v>238320000</v>
      </c>
      <c r="H43" s="47">
        <v>0</v>
      </c>
      <c r="I43" s="47">
        <v>0</v>
      </c>
      <c r="J43" s="47">
        <f t="shared" si="9"/>
        <v>238320000</v>
      </c>
      <c r="K43" s="47"/>
      <c r="L43" s="47"/>
      <c r="M43" s="47"/>
      <c r="N43" s="47">
        <f t="shared" si="3"/>
        <v>0</v>
      </c>
      <c r="O43" s="47">
        <f t="shared" si="11"/>
        <v>238320000</v>
      </c>
      <c r="P43" s="47">
        <f t="shared" si="4"/>
        <v>0</v>
      </c>
      <c r="Q43" s="47">
        <f t="shared" si="5"/>
        <v>0</v>
      </c>
      <c r="R43" s="47">
        <f t="shared" si="6"/>
        <v>238320000</v>
      </c>
      <c r="S43" s="79">
        <f t="shared" si="12"/>
        <v>56.726649528706083</v>
      </c>
      <c r="T43" s="79">
        <v>0</v>
      </c>
      <c r="U43" s="79">
        <v>0</v>
      </c>
      <c r="V43" s="79">
        <f t="shared" si="13"/>
        <v>56.726649528706083</v>
      </c>
      <c r="W43" s="47">
        <f t="shared" si="7"/>
        <v>181800000</v>
      </c>
      <c r="X43" s="247">
        <f t="shared" si="22"/>
        <v>238320000</v>
      </c>
      <c r="Y43" s="247">
        <f t="shared" si="20"/>
        <v>0</v>
      </c>
      <c r="Z43" s="247">
        <f t="shared" si="21"/>
        <v>0</v>
      </c>
      <c r="AA43" s="93"/>
    </row>
    <row r="44" spans="1:27">
      <c r="A44" s="44" t="s">
        <v>433</v>
      </c>
      <c r="B44" s="45" t="s">
        <v>434</v>
      </c>
      <c r="C44" s="46">
        <v>48960000</v>
      </c>
      <c r="D44" s="46">
        <v>0</v>
      </c>
      <c r="E44" s="46">
        <v>0</v>
      </c>
      <c r="F44" s="46">
        <f t="shared" si="0"/>
        <v>48960000</v>
      </c>
      <c r="G44" s="49">
        <v>27200000</v>
      </c>
      <c r="H44" s="47">
        <v>0</v>
      </c>
      <c r="I44" s="47">
        <v>0</v>
      </c>
      <c r="J44" s="47">
        <f t="shared" si="9"/>
        <v>27200000</v>
      </c>
      <c r="K44" s="47"/>
      <c r="L44" s="47"/>
      <c r="M44" s="47"/>
      <c r="N44" s="47">
        <f t="shared" si="3"/>
        <v>0</v>
      </c>
      <c r="O44" s="47">
        <f t="shared" si="11"/>
        <v>27200000</v>
      </c>
      <c r="P44" s="47">
        <f t="shared" si="4"/>
        <v>0</v>
      </c>
      <c r="Q44" s="47">
        <f t="shared" si="5"/>
        <v>0</v>
      </c>
      <c r="R44" s="47">
        <f t="shared" si="6"/>
        <v>27200000</v>
      </c>
      <c r="S44" s="79">
        <f t="shared" si="12"/>
        <v>55.555555555555557</v>
      </c>
      <c r="T44" s="79">
        <v>0</v>
      </c>
      <c r="U44" s="79">
        <v>0</v>
      </c>
      <c r="V44" s="79">
        <f t="shared" si="13"/>
        <v>55.555555555555557</v>
      </c>
      <c r="W44" s="47">
        <f t="shared" si="7"/>
        <v>21760000</v>
      </c>
      <c r="X44" s="247">
        <f t="shared" si="22"/>
        <v>27200000</v>
      </c>
      <c r="Y44" s="247">
        <f t="shared" si="20"/>
        <v>0</v>
      </c>
      <c r="Z44" s="247">
        <f t="shared" si="21"/>
        <v>0</v>
      </c>
      <c r="AA44" s="93"/>
    </row>
    <row r="45" spans="1:27">
      <c r="A45" s="44" t="s">
        <v>435</v>
      </c>
      <c r="B45" s="45" t="s">
        <v>436</v>
      </c>
      <c r="C45" s="46">
        <v>15840000</v>
      </c>
      <c r="D45" s="46">
        <v>0</v>
      </c>
      <c r="E45" s="46">
        <v>0</v>
      </c>
      <c r="F45" s="46">
        <f t="shared" si="0"/>
        <v>15840000</v>
      </c>
      <c r="G45" s="47">
        <v>10560000</v>
      </c>
      <c r="H45" s="47">
        <v>0</v>
      </c>
      <c r="I45" s="47">
        <v>0</v>
      </c>
      <c r="J45" s="47">
        <f t="shared" si="9"/>
        <v>10560000</v>
      </c>
      <c r="K45" s="47"/>
      <c r="L45" s="47"/>
      <c r="M45" s="47"/>
      <c r="N45" s="47">
        <f t="shared" si="3"/>
        <v>0</v>
      </c>
      <c r="O45" s="47">
        <f t="shared" si="11"/>
        <v>10560000</v>
      </c>
      <c r="P45" s="47">
        <f t="shared" si="4"/>
        <v>0</v>
      </c>
      <c r="Q45" s="47">
        <f t="shared" si="5"/>
        <v>0</v>
      </c>
      <c r="R45" s="47">
        <f t="shared" si="6"/>
        <v>10560000</v>
      </c>
      <c r="S45" s="79">
        <f t="shared" si="12"/>
        <v>66.666666666666657</v>
      </c>
      <c r="T45" s="79">
        <v>0</v>
      </c>
      <c r="U45" s="79">
        <v>0</v>
      </c>
      <c r="V45" s="79">
        <f t="shared" si="13"/>
        <v>66.666666666666657</v>
      </c>
      <c r="W45" s="47">
        <f t="shared" si="7"/>
        <v>5280000</v>
      </c>
      <c r="X45" s="247">
        <f t="shared" si="22"/>
        <v>10560000</v>
      </c>
      <c r="Y45" s="247">
        <f t="shared" si="20"/>
        <v>0</v>
      </c>
      <c r="Z45" s="247">
        <f t="shared" si="21"/>
        <v>0</v>
      </c>
      <c r="AA45" s="93"/>
    </row>
    <row r="46" spans="1:27" s="2" customFormat="1" ht="18">
      <c r="A46" s="50" t="s">
        <v>14</v>
      </c>
      <c r="B46" s="51" t="s">
        <v>15</v>
      </c>
      <c r="C46" s="52">
        <f>C47+C388+C480+C570</f>
        <v>64206798277</v>
      </c>
      <c r="D46" s="52">
        <f>D47+D388+D480+D570</f>
        <v>4989929273</v>
      </c>
      <c r="E46" s="52">
        <f>E47+E388+E480+E570</f>
        <v>616605050</v>
      </c>
      <c r="F46" s="52">
        <f t="shared" si="0"/>
        <v>69813332600</v>
      </c>
      <c r="G46" s="52">
        <f>G47+G388+G480+G570</f>
        <v>23441836375.260002</v>
      </c>
      <c r="H46" s="52">
        <f>H47+H388+H480+H570</f>
        <v>2495545724</v>
      </c>
      <c r="I46" s="52">
        <f>I47+I388+I480+I570</f>
        <v>127391350</v>
      </c>
      <c r="J46" s="52">
        <f t="shared" si="9"/>
        <v>26064773449.260002</v>
      </c>
      <c r="K46" s="52">
        <f>K47+K388+K480+K570</f>
        <v>0</v>
      </c>
      <c r="L46" s="52">
        <f>L47+L388+L480+L570</f>
        <v>0</v>
      </c>
      <c r="M46" s="52">
        <f>M47+M388+M480+M570</f>
        <v>0</v>
      </c>
      <c r="N46" s="52">
        <f t="shared" si="3"/>
        <v>0</v>
      </c>
      <c r="O46" s="52">
        <f t="shared" si="11"/>
        <v>23441836375.260002</v>
      </c>
      <c r="P46" s="52">
        <f t="shared" si="4"/>
        <v>2495545724</v>
      </c>
      <c r="Q46" s="52">
        <f t="shared" si="5"/>
        <v>127391350</v>
      </c>
      <c r="R46" s="52">
        <f t="shared" si="6"/>
        <v>26064773449.260002</v>
      </c>
      <c r="S46" s="81">
        <f t="shared" si="12"/>
        <v>36.509897712275865</v>
      </c>
      <c r="T46" s="81">
        <f t="shared" ref="T46:T64" si="35">P46/D46*100</f>
        <v>50.011645205136354</v>
      </c>
      <c r="U46" s="81">
        <f>Q46/E46*100</f>
        <v>20.660121093721177</v>
      </c>
      <c r="V46" s="81">
        <f t="shared" si="13"/>
        <v>37.33495090200006</v>
      </c>
      <c r="W46" s="52">
        <f t="shared" si="7"/>
        <v>43748559150.739998</v>
      </c>
      <c r="X46" s="247">
        <f t="shared" si="22"/>
        <v>23441836375.260002</v>
      </c>
      <c r="Y46" s="247">
        <f t="shared" si="20"/>
        <v>2495545724</v>
      </c>
      <c r="Z46" s="247">
        <f t="shared" si="21"/>
        <v>127391350</v>
      </c>
      <c r="AA46" s="93"/>
    </row>
    <row r="47" spans="1:27" s="2" customFormat="1" ht="18">
      <c r="A47" s="50" t="s">
        <v>90</v>
      </c>
      <c r="B47" s="51" t="s">
        <v>91</v>
      </c>
      <c r="C47" s="52">
        <f>C48+C218+C270+C312+C334</f>
        <v>46266117983</v>
      </c>
      <c r="D47" s="52">
        <f>D48+D218+D270+D312+D334</f>
        <v>4389816823</v>
      </c>
      <c r="E47" s="52">
        <f>E48+E218+E270+E312+E334</f>
        <v>616605050</v>
      </c>
      <c r="F47" s="52">
        <f t="shared" si="0"/>
        <v>51272539856</v>
      </c>
      <c r="G47" s="52">
        <f>G48+G218+G270+G312+G334</f>
        <v>14872170600</v>
      </c>
      <c r="H47" s="52">
        <f>H48+H218+H270+H312+H334</f>
        <v>2138276064</v>
      </c>
      <c r="I47" s="52">
        <f>I48+I218+I270+I312+I334</f>
        <v>127391350</v>
      </c>
      <c r="J47" s="52">
        <f t="shared" si="9"/>
        <v>17137838014</v>
      </c>
      <c r="K47" s="52">
        <f>K48+K218+K270+K312+K334</f>
        <v>0</v>
      </c>
      <c r="L47" s="52">
        <f>L48+L218+L270+L312+L334</f>
        <v>0</v>
      </c>
      <c r="M47" s="52">
        <f>M48+M218+M270+M312+M334</f>
        <v>0</v>
      </c>
      <c r="N47" s="52">
        <f t="shared" si="3"/>
        <v>0</v>
      </c>
      <c r="O47" s="52">
        <f t="shared" si="11"/>
        <v>14872170600</v>
      </c>
      <c r="P47" s="52">
        <f t="shared" si="4"/>
        <v>2138276064</v>
      </c>
      <c r="Q47" s="52">
        <f t="shared" si="5"/>
        <v>127391350</v>
      </c>
      <c r="R47" s="52">
        <f t="shared" si="6"/>
        <v>17137838014</v>
      </c>
      <c r="S47" s="81">
        <f t="shared" si="12"/>
        <v>32.144842161740527</v>
      </c>
      <c r="T47" s="81">
        <f t="shared" si="35"/>
        <v>48.709915475213435</v>
      </c>
      <c r="U47" s="81">
        <f>Q47/E47*100</f>
        <v>20.660121093721177</v>
      </c>
      <c r="V47" s="81">
        <f t="shared" si="13"/>
        <v>33.424983552856901</v>
      </c>
      <c r="W47" s="52">
        <f t="shared" si="7"/>
        <v>34134701842</v>
      </c>
      <c r="X47" s="247">
        <f t="shared" si="22"/>
        <v>14872170600</v>
      </c>
      <c r="Y47" s="247">
        <f t="shared" si="20"/>
        <v>2138276064</v>
      </c>
      <c r="Z47" s="247">
        <f t="shared" si="21"/>
        <v>127391350</v>
      </c>
      <c r="AA47" s="93"/>
    </row>
    <row r="48" spans="1:27" s="2" customFormat="1" ht="18">
      <c r="A48" s="53"/>
      <c r="B48" s="54" t="s">
        <v>16</v>
      </c>
      <c r="C48" s="55">
        <f>C49+C185+C148</f>
        <v>13555891270</v>
      </c>
      <c r="D48" s="55">
        <f>D49+D185</f>
        <v>556107800</v>
      </c>
      <c r="E48" s="55">
        <f>E49+E185</f>
        <v>0</v>
      </c>
      <c r="F48" s="55">
        <f t="shared" si="0"/>
        <v>14111999070</v>
      </c>
      <c r="G48" s="55">
        <f t="shared" ref="G48:I48" si="36">G49+G185+G148</f>
        <v>7853476100</v>
      </c>
      <c r="H48" s="55">
        <f t="shared" si="36"/>
        <v>43182330</v>
      </c>
      <c r="I48" s="55">
        <f t="shared" si="36"/>
        <v>0</v>
      </c>
      <c r="J48" s="55">
        <f t="shared" si="9"/>
        <v>7896658430</v>
      </c>
      <c r="K48" s="55">
        <f t="shared" ref="K48:M48" si="37">K49+K185+K148</f>
        <v>0</v>
      </c>
      <c r="L48" s="55">
        <f t="shared" si="37"/>
        <v>0</v>
      </c>
      <c r="M48" s="55">
        <f t="shared" si="37"/>
        <v>0</v>
      </c>
      <c r="N48" s="55">
        <f t="shared" si="3"/>
        <v>0</v>
      </c>
      <c r="O48" s="55">
        <f t="shared" si="11"/>
        <v>7853476100</v>
      </c>
      <c r="P48" s="55">
        <f t="shared" si="4"/>
        <v>43182330</v>
      </c>
      <c r="Q48" s="55">
        <f t="shared" si="5"/>
        <v>0</v>
      </c>
      <c r="R48" s="55">
        <f t="shared" si="6"/>
        <v>7896658430</v>
      </c>
      <c r="S48" s="82">
        <f t="shared" si="12"/>
        <v>57.934044642127027</v>
      </c>
      <c r="T48" s="82">
        <f t="shared" si="35"/>
        <v>7.7651005794200341</v>
      </c>
      <c r="U48" s="82">
        <v>0</v>
      </c>
      <c r="V48" s="82">
        <f t="shared" si="13"/>
        <v>55.957050385491556</v>
      </c>
      <c r="W48" s="55">
        <f t="shared" si="7"/>
        <v>6215340640</v>
      </c>
      <c r="X48" s="247">
        <f t="shared" si="22"/>
        <v>7853476100</v>
      </c>
      <c r="Y48" s="247">
        <f t="shared" si="20"/>
        <v>43182330</v>
      </c>
      <c r="Z48" s="247">
        <f t="shared" si="21"/>
        <v>0</v>
      </c>
      <c r="AA48" s="93"/>
    </row>
    <row r="49" spans="1:27" ht="18">
      <c r="A49" s="56"/>
      <c r="B49" s="57" t="s">
        <v>17</v>
      </c>
      <c r="C49" s="58">
        <f>C50</f>
        <v>11636724073</v>
      </c>
      <c r="D49" s="58">
        <f>D50</f>
        <v>260000000</v>
      </c>
      <c r="E49" s="58">
        <f>E50</f>
        <v>0</v>
      </c>
      <c r="F49" s="58">
        <f t="shared" si="0"/>
        <v>11896724073</v>
      </c>
      <c r="G49" s="58">
        <f t="shared" ref="G49:I49" si="38">G50</f>
        <v>6592231845</v>
      </c>
      <c r="H49" s="58">
        <f t="shared" si="38"/>
        <v>12000000</v>
      </c>
      <c r="I49" s="58">
        <f t="shared" si="38"/>
        <v>0</v>
      </c>
      <c r="J49" s="58">
        <f t="shared" si="9"/>
        <v>6604231845</v>
      </c>
      <c r="K49" s="58">
        <f t="shared" ref="K49:M49" si="39">K50</f>
        <v>0</v>
      </c>
      <c r="L49" s="58">
        <f t="shared" si="39"/>
        <v>0</v>
      </c>
      <c r="M49" s="58">
        <f t="shared" si="39"/>
        <v>0</v>
      </c>
      <c r="N49" s="58">
        <f t="shared" si="3"/>
        <v>0</v>
      </c>
      <c r="O49" s="58">
        <f t="shared" si="11"/>
        <v>6592231845</v>
      </c>
      <c r="P49" s="58">
        <f t="shared" si="4"/>
        <v>12000000</v>
      </c>
      <c r="Q49" s="58">
        <f t="shared" si="5"/>
        <v>0</v>
      </c>
      <c r="R49" s="58">
        <f t="shared" si="6"/>
        <v>6604231845</v>
      </c>
      <c r="S49" s="83">
        <f t="shared" si="12"/>
        <v>56.650237675529013</v>
      </c>
      <c r="T49" s="83">
        <f t="shared" si="35"/>
        <v>4.6153846153846159</v>
      </c>
      <c r="U49" s="83">
        <v>0</v>
      </c>
      <c r="V49" s="83">
        <f t="shared" si="13"/>
        <v>55.513028666341157</v>
      </c>
      <c r="W49" s="58">
        <f t="shared" si="7"/>
        <v>5292492228</v>
      </c>
      <c r="X49" s="247">
        <f t="shared" si="22"/>
        <v>6592231845</v>
      </c>
      <c r="Y49" s="247">
        <f t="shared" si="20"/>
        <v>12000000</v>
      </c>
      <c r="Z49" s="247">
        <f t="shared" si="21"/>
        <v>0</v>
      </c>
      <c r="AA49" s="93"/>
    </row>
    <row r="50" spans="1:27" s="3" customFormat="1" ht="21" customHeight="1">
      <c r="A50" s="35" t="s">
        <v>35</v>
      </c>
      <c r="B50" s="36" t="s">
        <v>36</v>
      </c>
      <c r="C50" s="37">
        <f>C51+C65+C98+C114+C136</f>
        <v>11636724073</v>
      </c>
      <c r="D50" s="37">
        <f>D51+D65+D98+D114+D136</f>
        <v>260000000</v>
      </c>
      <c r="E50" s="37">
        <f>E51+E65+E98+E114+E136</f>
        <v>0</v>
      </c>
      <c r="F50" s="37">
        <f t="shared" si="0"/>
        <v>11896724073</v>
      </c>
      <c r="G50" s="37">
        <f t="shared" ref="G50:I50" si="40">G51+G65+G98+G114+G136</f>
        <v>6592231845</v>
      </c>
      <c r="H50" s="37">
        <f t="shared" si="40"/>
        <v>12000000</v>
      </c>
      <c r="I50" s="37">
        <f t="shared" si="40"/>
        <v>0</v>
      </c>
      <c r="J50" s="37">
        <f t="shared" si="9"/>
        <v>6604231845</v>
      </c>
      <c r="K50" s="37">
        <f t="shared" ref="K50:M50" si="41">K51+K65+K98+K114+K136</f>
        <v>0</v>
      </c>
      <c r="L50" s="37">
        <f t="shared" si="41"/>
        <v>0</v>
      </c>
      <c r="M50" s="37">
        <f t="shared" si="41"/>
        <v>0</v>
      </c>
      <c r="N50" s="37">
        <f t="shared" si="3"/>
        <v>0</v>
      </c>
      <c r="O50" s="37">
        <f t="shared" si="11"/>
        <v>6592231845</v>
      </c>
      <c r="P50" s="37">
        <f t="shared" si="4"/>
        <v>12000000</v>
      </c>
      <c r="Q50" s="37">
        <f t="shared" si="5"/>
        <v>0</v>
      </c>
      <c r="R50" s="37">
        <f t="shared" si="6"/>
        <v>6604231845</v>
      </c>
      <c r="S50" s="76">
        <f t="shared" si="12"/>
        <v>56.650237675529013</v>
      </c>
      <c r="T50" s="76">
        <f t="shared" si="35"/>
        <v>4.6153846153846159</v>
      </c>
      <c r="U50" s="76">
        <v>0</v>
      </c>
      <c r="V50" s="76">
        <f t="shared" si="13"/>
        <v>55.513028666341157</v>
      </c>
      <c r="W50" s="37">
        <f t="shared" si="7"/>
        <v>5292492228</v>
      </c>
      <c r="X50" s="247">
        <f t="shared" si="22"/>
        <v>6592231845</v>
      </c>
      <c r="Y50" s="247">
        <f t="shared" si="20"/>
        <v>12000000</v>
      </c>
      <c r="Z50" s="247">
        <f t="shared" si="21"/>
        <v>0</v>
      </c>
      <c r="AA50" s="93"/>
    </row>
    <row r="51" spans="1:27" s="4" customFormat="1" ht="20.25" customHeight="1">
      <c r="A51" s="38" t="s">
        <v>92</v>
      </c>
      <c r="B51" s="39" t="s">
        <v>93</v>
      </c>
      <c r="C51" s="40">
        <f>C52+C62+C54+C58</f>
        <v>357545200</v>
      </c>
      <c r="D51" s="40">
        <f>D52+D62</f>
        <v>260000000</v>
      </c>
      <c r="E51" s="40">
        <f>E52+E62</f>
        <v>0</v>
      </c>
      <c r="F51" s="40">
        <f t="shared" si="0"/>
        <v>617545200</v>
      </c>
      <c r="G51" s="40">
        <f t="shared" ref="G51:I51" si="42">G52+G54+G58+G62</f>
        <v>277330000</v>
      </c>
      <c r="H51" s="40">
        <f t="shared" si="42"/>
        <v>12000000</v>
      </c>
      <c r="I51" s="40">
        <f t="shared" si="42"/>
        <v>0</v>
      </c>
      <c r="J51" s="40">
        <f t="shared" si="9"/>
        <v>289330000</v>
      </c>
      <c r="K51" s="40">
        <f>K52+K54+K58+K62</f>
        <v>0</v>
      </c>
      <c r="L51" s="40">
        <f>L52+L54+L58+L62</f>
        <v>0</v>
      </c>
      <c r="M51" s="40">
        <f>M52+M54+M58+M62</f>
        <v>0</v>
      </c>
      <c r="N51" s="40">
        <f>SUM(K51:M51)</f>
        <v>0</v>
      </c>
      <c r="O51" s="40">
        <f>K51+G51</f>
        <v>277330000</v>
      </c>
      <c r="P51" s="40">
        <f>L51+H51</f>
        <v>12000000</v>
      </c>
      <c r="Q51" s="40">
        <f>M51+I51</f>
        <v>0</v>
      </c>
      <c r="R51" s="40">
        <f>SUM(O51:Q51)</f>
        <v>289330000</v>
      </c>
      <c r="S51" s="77">
        <f>O51/C51*100</f>
        <v>77.565018352924326</v>
      </c>
      <c r="T51" s="77">
        <f>P51/D51*100</f>
        <v>4.6153846153846159</v>
      </c>
      <c r="U51" s="77">
        <v>0</v>
      </c>
      <c r="V51" s="77">
        <f>R51/F51*100</f>
        <v>46.851631265209413</v>
      </c>
      <c r="W51" s="40">
        <f>F51-R51</f>
        <v>328215200</v>
      </c>
      <c r="X51" s="247">
        <f t="shared" si="22"/>
        <v>277330000</v>
      </c>
      <c r="Y51" s="247">
        <f t="shared" si="20"/>
        <v>12000000</v>
      </c>
      <c r="Z51" s="247">
        <f t="shared" si="21"/>
        <v>0</v>
      </c>
      <c r="AA51" s="93"/>
    </row>
    <row r="52" spans="1:27" s="5" customFormat="1">
      <c r="A52" s="59" t="s">
        <v>94</v>
      </c>
      <c r="B52" s="59" t="s">
        <v>95</v>
      </c>
      <c r="C52" s="60">
        <f t="shared" ref="C52:M52" si="43">SUM(C53:C53)</f>
        <v>129648000</v>
      </c>
      <c r="D52" s="60">
        <f t="shared" si="43"/>
        <v>0</v>
      </c>
      <c r="E52" s="60">
        <f t="shared" si="43"/>
        <v>0</v>
      </c>
      <c r="F52" s="60">
        <f t="shared" si="0"/>
        <v>129648000</v>
      </c>
      <c r="G52" s="60">
        <f t="shared" ref="G52:I52" si="44">SUM(G53:G53)</f>
        <v>124080000</v>
      </c>
      <c r="H52" s="60">
        <f t="shared" si="44"/>
        <v>0</v>
      </c>
      <c r="I52" s="60">
        <f t="shared" si="44"/>
        <v>0</v>
      </c>
      <c r="J52" s="60">
        <f t="shared" si="9"/>
        <v>124080000</v>
      </c>
      <c r="K52" s="60">
        <f t="shared" si="43"/>
        <v>0</v>
      </c>
      <c r="L52" s="60">
        <f t="shared" si="43"/>
        <v>0</v>
      </c>
      <c r="M52" s="60">
        <f t="shared" si="43"/>
        <v>0</v>
      </c>
      <c r="N52" s="60">
        <f t="shared" si="3"/>
        <v>0</v>
      </c>
      <c r="O52" s="60">
        <f t="shared" si="11"/>
        <v>124080000</v>
      </c>
      <c r="P52" s="60">
        <f t="shared" si="4"/>
        <v>0</v>
      </c>
      <c r="Q52" s="60">
        <f t="shared" si="5"/>
        <v>0</v>
      </c>
      <c r="R52" s="60">
        <f t="shared" si="6"/>
        <v>124080000</v>
      </c>
      <c r="S52" s="84">
        <f t="shared" si="12"/>
        <v>95.705294335431319</v>
      </c>
      <c r="T52" s="84">
        <v>0</v>
      </c>
      <c r="U52" s="84">
        <v>0</v>
      </c>
      <c r="V52" s="84">
        <f t="shared" si="13"/>
        <v>95.705294335431319</v>
      </c>
      <c r="W52" s="60">
        <f t="shared" si="7"/>
        <v>5568000</v>
      </c>
      <c r="X52" s="247">
        <f t="shared" si="22"/>
        <v>124080000</v>
      </c>
      <c r="Y52" s="247">
        <f t="shared" si="20"/>
        <v>0</v>
      </c>
      <c r="Z52" s="247">
        <f t="shared" si="21"/>
        <v>0</v>
      </c>
      <c r="AA52" s="93"/>
    </row>
    <row r="53" spans="1:27">
      <c r="A53" s="44" t="s">
        <v>336</v>
      </c>
      <c r="B53" s="45" t="s">
        <v>337</v>
      </c>
      <c r="C53" s="46">
        <v>129648000</v>
      </c>
      <c r="D53" s="46">
        <v>0</v>
      </c>
      <c r="E53" s="46">
        <v>0</v>
      </c>
      <c r="F53" s="46">
        <f t="shared" si="0"/>
        <v>129648000</v>
      </c>
      <c r="G53" s="48">
        <v>124080000</v>
      </c>
      <c r="H53" s="47">
        <v>0</v>
      </c>
      <c r="I53" s="47">
        <v>0</v>
      </c>
      <c r="J53" s="47">
        <f t="shared" si="9"/>
        <v>124080000</v>
      </c>
      <c r="K53" s="47"/>
      <c r="L53" s="47"/>
      <c r="M53" s="47"/>
      <c r="N53" s="47">
        <f t="shared" si="3"/>
        <v>0</v>
      </c>
      <c r="O53" s="47">
        <f t="shared" si="11"/>
        <v>124080000</v>
      </c>
      <c r="P53" s="47">
        <f t="shared" si="4"/>
        <v>0</v>
      </c>
      <c r="Q53" s="47">
        <f t="shared" si="5"/>
        <v>0</v>
      </c>
      <c r="R53" s="47">
        <f t="shared" si="6"/>
        <v>124080000</v>
      </c>
      <c r="S53" s="79">
        <f t="shared" si="12"/>
        <v>95.705294335431319</v>
      </c>
      <c r="T53" s="79">
        <v>0</v>
      </c>
      <c r="U53" s="79">
        <v>0</v>
      </c>
      <c r="V53" s="79">
        <f t="shared" si="13"/>
        <v>95.705294335431319</v>
      </c>
      <c r="W53" s="47">
        <f t="shared" si="7"/>
        <v>5568000</v>
      </c>
      <c r="X53" s="247">
        <f t="shared" si="22"/>
        <v>124080000</v>
      </c>
      <c r="Y53" s="247">
        <f t="shared" si="20"/>
        <v>0</v>
      </c>
      <c r="Z53" s="247">
        <f t="shared" si="21"/>
        <v>0</v>
      </c>
      <c r="AA53" s="93"/>
    </row>
    <row r="54" spans="1:27" s="5" customFormat="1">
      <c r="A54" s="59" t="s">
        <v>509</v>
      </c>
      <c r="B54" s="59" t="s">
        <v>510</v>
      </c>
      <c r="C54" s="60">
        <f>SUM(C55:C57)</f>
        <v>34898000</v>
      </c>
      <c r="D54" s="60">
        <f>SUM(D55:D57)</f>
        <v>0</v>
      </c>
      <c r="E54" s="60">
        <f>SUM(E55:E57)</f>
        <v>0</v>
      </c>
      <c r="F54" s="60">
        <f t="shared" si="0"/>
        <v>34898000</v>
      </c>
      <c r="G54" s="60">
        <f t="shared" ref="G54:I54" si="45">SUM(G55:G57)</f>
        <v>0</v>
      </c>
      <c r="H54" s="60">
        <f t="shared" si="45"/>
        <v>0</v>
      </c>
      <c r="I54" s="60">
        <f t="shared" si="45"/>
        <v>0</v>
      </c>
      <c r="J54" s="60">
        <f t="shared" si="9"/>
        <v>0</v>
      </c>
      <c r="K54" s="60">
        <f t="shared" ref="K54:M54" si="46">SUM(K55:K57)</f>
        <v>0</v>
      </c>
      <c r="L54" s="60">
        <f t="shared" si="46"/>
        <v>0</v>
      </c>
      <c r="M54" s="60">
        <f t="shared" si="46"/>
        <v>0</v>
      </c>
      <c r="N54" s="60">
        <f t="shared" si="3"/>
        <v>0</v>
      </c>
      <c r="O54" s="60">
        <f t="shared" si="11"/>
        <v>0</v>
      </c>
      <c r="P54" s="60">
        <f t="shared" si="4"/>
        <v>0</v>
      </c>
      <c r="Q54" s="60">
        <f t="shared" si="5"/>
        <v>0</v>
      </c>
      <c r="R54" s="60">
        <f t="shared" si="6"/>
        <v>0</v>
      </c>
      <c r="S54" s="84">
        <f t="shared" si="12"/>
        <v>0</v>
      </c>
      <c r="T54" s="84">
        <v>0</v>
      </c>
      <c r="U54" s="84">
        <v>0</v>
      </c>
      <c r="V54" s="84">
        <f t="shared" si="13"/>
        <v>0</v>
      </c>
      <c r="W54" s="60">
        <f t="shared" si="7"/>
        <v>34898000</v>
      </c>
      <c r="X54" s="247">
        <f t="shared" si="22"/>
        <v>0</v>
      </c>
      <c r="Y54" s="247">
        <f t="shared" si="20"/>
        <v>0</v>
      </c>
      <c r="Z54" s="247">
        <f t="shared" si="21"/>
        <v>0</v>
      </c>
      <c r="AA54" s="93"/>
    </row>
    <row r="55" spans="1:27">
      <c r="A55" s="44" t="s">
        <v>275</v>
      </c>
      <c r="B55" s="45" t="s">
        <v>440</v>
      </c>
      <c r="C55" s="46">
        <v>21098000</v>
      </c>
      <c r="D55" s="46">
        <v>0</v>
      </c>
      <c r="E55" s="46">
        <v>0</v>
      </c>
      <c r="F55" s="46">
        <f t="shared" si="0"/>
        <v>21098000</v>
      </c>
      <c r="G55" s="48">
        <v>0</v>
      </c>
      <c r="H55" s="47">
        <v>0</v>
      </c>
      <c r="I55" s="47">
        <v>0</v>
      </c>
      <c r="J55" s="47">
        <f t="shared" si="9"/>
        <v>0</v>
      </c>
      <c r="K55" s="47"/>
      <c r="L55" s="47"/>
      <c r="M55" s="47"/>
      <c r="N55" s="47">
        <f t="shared" si="3"/>
        <v>0</v>
      </c>
      <c r="O55" s="47">
        <f t="shared" ref="O55:O57" si="47">K55+G55</f>
        <v>0</v>
      </c>
      <c r="P55" s="47">
        <f t="shared" si="4"/>
        <v>0</v>
      </c>
      <c r="Q55" s="47">
        <f t="shared" si="5"/>
        <v>0</v>
      </c>
      <c r="R55" s="47">
        <f t="shared" si="6"/>
        <v>0</v>
      </c>
      <c r="S55" s="79">
        <f t="shared" si="12"/>
        <v>0</v>
      </c>
      <c r="T55" s="79">
        <v>0</v>
      </c>
      <c r="U55" s="79">
        <v>0</v>
      </c>
      <c r="V55" s="79">
        <f t="shared" si="13"/>
        <v>0</v>
      </c>
      <c r="W55" s="47">
        <f t="shared" si="7"/>
        <v>21098000</v>
      </c>
      <c r="X55" s="247">
        <f t="shared" si="22"/>
        <v>0</v>
      </c>
      <c r="Y55" s="247">
        <f t="shared" si="20"/>
        <v>0</v>
      </c>
      <c r="Z55" s="247">
        <f t="shared" si="21"/>
        <v>0</v>
      </c>
      <c r="AA55" s="93"/>
    </row>
    <row r="56" spans="1:27">
      <c r="A56" s="44" t="s">
        <v>276</v>
      </c>
      <c r="B56" s="45" t="s">
        <v>429</v>
      </c>
      <c r="C56" s="46">
        <v>5400000</v>
      </c>
      <c r="D56" s="46">
        <v>0</v>
      </c>
      <c r="E56" s="46">
        <v>0</v>
      </c>
      <c r="F56" s="46">
        <f t="shared" si="0"/>
        <v>5400000</v>
      </c>
      <c r="G56" s="48">
        <v>0</v>
      </c>
      <c r="H56" s="47">
        <v>0</v>
      </c>
      <c r="I56" s="47">
        <v>0</v>
      </c>
      <c r="J56" s="47">
        <f t="shared" si="9"/>
        <v>0</v>
      </c>
      <c r="K56" s="47"/>
      <c r="L56" s="47"/>
      <c r="M56" s="47"/>
      <c r="N56" s="47">
        <f t="shared" si="3"/>
        <v>0</v>
      </c>
      <c r="O56" s="47">
        <f t="shared" si="47"/>
        <v>0</v>
      </c>
      <c r="P56" s="47">
        <f t="shared" si="4"/>
        <v>0</v>
      </c>
      <c r="Q56" s="47">
        <f t="shared" si="5"/>
        <v>0</v>
      </c>
      <c r="R56" s="47">
        <f t="shared" si="6"/>
        <v>0</v>
      </c>
      <c r="S56" s="79">
        <f t="shared" si="12"/>
        <v>0</v>
      </c>
      <c r="T56" s="79">
        <v>0</v>
      </c>
      <c r="U56" s="79">
        <v>0</v>
      </c>
      <c r="V56" s="79">
        <f t="shared" si="13"/>
        <v>0</v>
      </c>
      <c r="W56" s="47">
        <f t="shared" si="7"/>
        <v>5400000</v>
      </c>
      <c r="X56" s="247">
        <f t="shared" si="22"/>
        <v>0</v>
      </c>
      <c r="Y56" s="247">
        <f t="shared" si="20"/>
        <v>0</v>
      </c>
      <c r="Z56" s="247">
        <f t="shared" si="21"/>
        <v>0</v>
      </c>
      <c r="AA56" s="93"/>
    </row>
    <row r="57" spans="1:27">
      <c r="A57" s="44" t="s">
        <v>100</v>
      </c>
      <c r="B57" s="45" t="s">
        <v>101</v>
      </c>
      <c r="C57" s="46">
        <v>8400000</v>
      </c>
      <c r="D57" s="46">
        <v>0</v>
      </c>
      <c r="E57" s="46">
        <v>0</v>
      </c>
      <c r="F57" s="46">
        <f t="shared" si="0"/>
        <v>8400000</v>
      </c>
      <c r="G57" s="47">
        <v>0</v>
      </c>
      <c r="H57" s="47">
        <v>0</v>
      </c>
      <c r="I57" s="47">
        <v>0</v>
      </c>
      <c r="J57" s="47">
        <f t="shared" si="9"/>
        <v>0</v>
      </c>
      <c r="K57" s="47"/>
      <c r="L57" s="47"/>
      <c r="M57" s="47"/>
      <c r="N57" s="47">
        <f t="shared" si="3"/>
        <v>0</v>
      </c>
      <c r="O57" s="47">
        <f t="shared" si="47"/>
        <v>0</v>
      </c>
      <c r="P57" s="47">
        <f t="shared" si="4"/>
        <v>0</v>
      </c>
      <c r="Q57" s="47">
        <f t="shared" si="5"/>
        <v>0</v>
      </c>
      <c r="R57" s="47">
        <f t="shared" si="6"/>
        <v>0</v>
      </c>
      <c r="S57" s="79">
        <f t="shared" si="12"/>
        <v>0</v>
      </c>
      <c r="T57" s="79">
        <v>0</v>
      </c>
      <c r="U57" s="79">
        <v>0</v>
      </c>
      <c r="V57" s="79">
        <f t="shared" si="13"/>
        <v>0</v>
      </c>
      <c r="W57" s="47">
        <f t="shared" si="7"/>
        <v>8400000</v>
      </c>
      <c r="X57" s="247">
        <f t="shared" si="22"/>
        <v>0</v>
      </c>
      <c r="Y57" s="247">
        <f t="shared" si="20"/>
        <v>0</v>
      </c>
      <c r="Z57" s="247">
        <f t="shared" si="21"/>
        <v>0</v>
      </c>
      <c r="AA57" s="93"/>
    </row>
    <row r="58" spans="1:27" s="5" customFormat="1">
      <c r="A58" s="59" t="s">
        <v>511</v>
      </c>
      <c r="B58" s="59" t="s">
        <v>512</v>
      </c>
      <c r="C58" s="60">
        <f>SUM(C59:C61)</f>
        <v>24999200</v>
      </c>
      <c r="D58" s="60">
        <f>SUM(D59:D61)</f>
        <v>0</v>
      </c>
      <c r="E58" s="60">
        <f>SUM(E59:E61)</f>
        <v>0</v>
      </c>
      <c r="F58" s="60">
        <f t="shared" si="0"/>
        <v>24999200</v>
      </c>
      <c r="G58" s="60">
        <f t="shared" ref="G58:I58" si="48">SUM(G59:G61)</f>
        <v>0</v>
      </c>
      <c r="H58" s="60">
        <f t="shared" si="48"/>
        <v>0</v>
      </c>
      <c r="I58" s="60">
        <f t="shared" si="48"/>
        <v>0</v>
      </c>
      <c r="J58" s="60">
        <f t="shared" si="9"/>
        <v>0</v>
      </c>
      <c r="K58" s="60">
        <f t="shared" ref="K58:M58" si="49">SUM(K59:K61)</f>
        <v>0</v>
      </c>
      <c r="L58" s="60">
        <f t="shared" si="49"/>
        <v>0</v>
      </c>
      <c r="M58" s="60">
        <f t="shared" si="49"/>
        <v>0</v>
      </c>
      <c r="N58" s="60">
        <f t="shared" si="3"/>
        <v>0</v>
      </c>
      <c r="O58" s="60">
        <f t="shared" si="11"/>
        <v>0</v>
      </c>
      <c r="P58" s="60">
        <f t="shared" si="4"/>
        <v>0</v>
      </c>
      <c r="Q58" s="60">
        <f t="shared" si="5"/>
        <v>0</v>
      </c>
      <c r="R58" s="60">
        <f t="shared" si="6"/>
        <v>0</v>
      </c>
      <c r="S58" s="84">
        <f t="shared" si="12"/>
        <v>0</v>
      </c>
      <c r="T58" s="84">
        <v>0</v>
      </c>
      <c r="U58" s="84">
        <v>0</v>
      </c>
      <c r="V58" s="84">
        <f t="shared" si="13"/>
        <v>0</v>
      </c>
      <c r="W58" s="60">
        <f t="shared" si="7"/>
        <v>24999200</v>
      </c>
      <c r="X58" s="247">
        <f t="shared" si="22"/>
        <v>0</v>
      </c>
      <c r="Y58" s="247">
        <f t="shared" si="20"/>
        <v>0</v>
      </c>
      <c r="Z58" s="247">
        <f t="shared" si="21"/>
        <v>0</v>
      </c>
      <c r="AA58" s="93"/>
    </row>
    <row r="59" spans="1:27">
      <c r="A59" s="44" t="s">
        <v>110</v>
      </c>
      <c r="B59" s="45" t="s">
        <v>391</v>
      </c>
      <c r="C59" s="46">
        <v>2843200</v>
      </c>
      <c r="D59" s="46">
        <v>0</v>
      </c>
      <c r="E59" s="46">
        <v>0</v>
      </c>
      <c r="F59" s="46">
        <f t="shared" si="0"/>
        <v>2843200</v>
      </c>
      <c r="G59" s="48">
        <v>0</v>
      </c>
      <c r="H59" s="47">
        <v>0</v>
      </c>
      <c r="I59" s="47">
        <v>0</v>
      </c>
      <c r="J59" s="47">
        <f t="shared" si="9"/>
        <v>0</v>
      </c>
      <c r="K59" s="47"/>
      <c r="L59" s="47"/>
      <c r="M59" s="47"/>
      <c r="N59" s="47">
        <f t="shared" si="3"/>
        <v>0</v>
      </c>
      <c r="O59" s="47">
        <f t="shared" ref="O59:O61" si="50">K59+G59</f>
        <v>0</v>
      </c>
      <c r="P59" s="47">
        <f t="shared" si="4"/>
        <v>0</v>
      </c>
      <c r="Q59" s="47">
        <f t="shared" si="5"/>
        <v>0</v>
      </c>
      <c r="R59" s="47">
        <f t="shared" si="6"/>
        <v>0</v>
      </c>
      <c r="S59" s="79">
        <f t="shared" si="12"/>
        <v>0</v>
      </c>
      <c r="T59" s="79">
        <v>0</v>
      </c>
      <c r="U59" s="79">
        <v>0</v>
      </c>
      <c r="V59" s="79">
        <f t="shared" si="13"/>
        <v>0</v>
      </c>
      <c r="W59" s="47">
        <f t="shared" si="7"/>
        <v>2843200</v>
      </c>
      <c r="X59" s="247">
        <f t="shared" si="22"/>
        <v>0</v>
      </c>
      <c r="Y59" s="247">
        <f t="shared" si="20"/>
        <v>0</v>
      </c>
      <c r="Z59" s="247">
        <f t="shared" si="21"/>
        <v>0</v>
      </c>
      <c r="AA59" s="93"/>
    </row>
    <row r="60" spans="1:27">
      <c r="A60" s="44" t="s">
        <v>513</v>
      </c>
      <c r="B60" s="45" t="s">
        <v>514</v>
      </c>
      <c r="C60" s="46">
        <v>16480000</v>
      </c>
      <c r="D60" s="46">
        <v>0</v>
      </c>
      <c r="E60" s="46">
        <v>0</v>
      </c>
      <c r="F60" s="46">
        <f t="shared" si="0"/>
        <v>16480000</v>
      </c>
      <c r="G60" s="48">
        <v>0</v>
      </c>
      <c r="H60" s="47">
        <v>0</v>
      </c>
      <c r="I60" s="47">
        <v>0</v>
      </c>
      <c r="J60" s="47">
        <f t="shared" si="9"/>
        <v>0</v>
      </c>
      <c r="K60" s="47"/>
      <c r="L60" s="47"/>
      <c r="M60" s="47"/>
      <c r="N60" s="47">
        <f t="shared" si="3"/>
        <v>0</v>
      </c>
      <c r="O60" s="47">
        <f t="shared" si="50"/>
        <v>0</v>
      </c>
      <c r="P60" s="47">
        <f t="shared" si="4"/>
        <v>0</v>
      </c>
      <c r="Q60" s="47">
        <f t="shared" si="5"/>
        <v>0</v>
      </c>
      <c r="R60" s="47">
        <f t="shared" si="6"/>
        <v>0</v>
      </c>
      <c r="S60" s="79">
        <f t="shared" si="12"/>
        <v>0</v>
      </c>
      <c r="T60" s="79">
        <v>0</v>
      </c>
      <c r="U60" s="79">
        <v>0</v>
      </c>
      <c r="V60" s="79">
        <f t="shared" si="13"/>
        <v>0</v>
      </c>
      <c r="W60" s="47">
        <f t="shared" si="7"/>
        <v>16480000</v>
      </c>
      <c r="X60" s="247">
        <f t="shared" si="22"/>
        <v>0</v>
      </c>
      <c r="Y60" s="247">
        <f t="shared" si="20"/>
        <v>0</v>
      </c>
      <c r="Z60" s="247">
        <f t="shared" si="21"/>
        <v>0</v>
      </c>
      <c r="AA60" s="93"/>
    </row>
    <row r="61" spans="1:27">
      <c r="A61" s="44" t="s">
        <v>275</v>
      </c>
      <c r="B61" s="45" t="s">
        <v>440</v>
      </c>
      <c r="C61" s="46">
        <v>5676000</v>
      </c>
      <c r="D61" s="46">
        <v>0</v>
      </c>
      <c r="E61" s="46">
        <v>0</v>
      </c>
      <c r="F61" s="46">
        <f t="shared" si="0"/>
        <v>5676000</v>
      </c>
      <c r="G61" s="47">
        <v>0</v>
      </c>
      <c r="H61" s="47">
        <v>0</v>
      </c>
      <c r="I61" s="47">
        <v>0</v>
      </c>
      <c r="J61" s="47">
        <f t="shared" si="9"/>
        <v>0</v>
      </c>
      <c r="K61" s="47"/>
      <c r="L61" s="47"/>
      <c r="M61" s="47"/>
      <c r="N61" s="47">
        <f t="shared" si="3"/>
        <v>0</v>
      </c>
      <c r="O61" s="47">
        <f t="shared" si="50"/>
        <v>0</v>
      </c>
      <c r="P61" s="47">
        <f t="shared" si="4"/>
        <v>0</v>
      </c>
      <c r="Q61" s="47">
        <f t="shared" si="5"/>
        <v>0</v>
      </c>
      <c r="R61" s="47">
        <f t="shared" si="6"/>
        <v>0</v>
      </c>
      <c r="S61" s="79">
        <f t="shared" si="12"/>
        <v>0</v>
      </c>
      <c r="T61" s="79">
        <v>0</v>
      </c>
      <c r="U61" s="79">
        <v>0</v>
      </c>
      <c r="V61" s="79">
        <f t="shared" si="13"/>
        <v>0</v>
      </c>
      <c r="W61" s="47">
        <f t="shared" si="7"/>
        <v>5676000</v>
      </c>
      <c r="X61" s="247">
        <f t="shared" si="22"/>
        <v>0</v>
      </c>
      <c r="Y61" s="247">
        <f t="shared" si="20"/>
        <v>0</v>
      </c>
      <c r="Z61" s="247">
        <f t="shared" si="21"/>
        <v>0</v>
      </c>
      <c r="AA61" s="93"/>
    </row>
    <row r="62" spans="1:27" s="5" customFormat="1">
      <c r="A62" s="59" t="s">
        <v>96</v>
      </c>
      <c r="B62" s="59" t="s">
        <v>97</v>
      </c>
      <c r="C62" s="60">
        <f t="shared" ref="C62:E62" si="51">SUM(C63:C64)</f>
        <v>168000000</v>
      </c>
      <c r="D62" s="60">
        <f t="shared" si="51"/>
        <v>260000000</v>
      </c>
      <c r="E62" s="60">
        <f t="shared" si="51"/>
        <v>0</v>
      </c>
      <c r="F62" s="60">
        <f t="shared" si="0"/>
        <v>428000000</v>
      </c>
      <c r="G62" s="60">
        <f t="shared" ref="G62:H62" si="52">SUM(G63:G64)</f>
        <v>153250000</v>
      </c>
      <c r="H62" s="60">
        <f t="shared" si="52"/>
        <v>12000000</v>
      </c>
      <c r="I62" s="60">
        <f>SUM(I63:I64)</f>
        <v>0</v>
      </c>
      <c r="J62" s="60">
        <f t="shared" si="9"/>
        <v>165250000</v>
      </c>
      <c r="K62" s="60">
        <f>SUM(K63:K64)</f>
        <v>0</v>
      </c>
      <c r="L62" s="60">
        <f>SUM(L63:L64)</f>
        <v>0</v>
      </c>
      <c r="M62" s="60">
        <f>SUM(M63:M64)</f>
        <v>0</v>
      </c>
      <c r="N62" s="60">
        <f t="shared" si="3"/>
        <v>0</v>
      </c>
      <c r="O62" s="60">
        <f>K62+G62</f>
        <v>153250000</v>
      </c>
      <c r="P62" s="60">
        <f t="shared" si="4"/>
        <v>12000000</v>
      </c>
      <c r="Q62" s="60">
        <f t="shared" si="5"/>
        <v>0</v>
      </c>
      <c r="R62" s="60">
        <f>SUM(O62:Q62)</f>
        <v>165250000</v>
      </c>
      <c r="S62" s="84">
        <f>O62/C62*100</f>
        <v>91.220238095238088</v>
      </c>
      <c r="T62" s="84">
        <f t="shared" si="35"/>
        <v>4.6153846153846159</v>
      </c>
      <c r="U62" s="84">
        <v>0</v>
      </c>
      <c r="V62" s="84">
        <f t="shared" si="13"/>
        <v>38.609813084112147</v>
      </c>
      <c r="W62" s="60">
        <f t="shared" si="7"/>
        <v>262750000</v>
      </c>
      <c r="X62" s="247">
        <f t="shared" si="22"/>
        <v>153250000</v>
      </c>
      <c r="Y62" s="247">
        <f t="shared" si="20"/>
        <v>12000000</v>
      </c>
      <c r="Z62" s="247">
        <f t="shared" si="21"/>
        <v>0</v>
      </c>
      <c r="AA62" s="93"/>
    </row>
    <row r="63" spans="1:27">
      <c r="A63" s="44" t="s">
        <v>98</v>
      </c>
      <c r="B63" s="45" t="s">
        <v>99</v>
      </c>
      <c r="C63" s="46">
        <v>132000000</v>
      </c>
      <c r="D63" s="46">
        <f>38000000+150000000</f>
        <v>188000000</v>
      </c>
      <c r="E63" s="46">
        <v>0</v>
      </c>
      <c r="F63" s="46">
        <f t="shared" si="0"/>
        <v>320000000</v>
      </c>
      <c r="G63" s="48">
        <v>153250000</v>
      </c>
      <c r="H63" s="47">
        <v>12000000</v>
      </c>
      <c r="I63" s="47">
        <v>0</v>
      </c>
      <c r="J63" s="47">
        <f t="shared" si="9"/>
        <v>165250000</v>
      </c>
      <c r="K63" s="47"/>
      <c r="L63" s="47"/>
      <c r="M63" s="47">
        <v>0</v>
      </c>
      <c r="N63" s="47">
        <f t="shared" si="3"/>
        <v>0</v>
      </c>
      <c r="O63" s="47">
        <f>K63+G63</f>
        <v>153250000</v>
      </c>
      <c r="P63" s="47">
        <f t="shared" si="4"/>
        <v>12000000</v>
      </c>
      <c r="Q63" s="47">
        <f t="shared" si="5"/>
        <v>0</v>
      </c>
      <c r="R63" s="47">
        <f>SUM(O63:Q63)</f>
        <v>165250000</v>
      </c>
      <c r="S63" s="79">
        <f>O63/C63*100</f>
        <v>116.09848484848484</v>
      </c>
      <c r="T63" s="79">
        <f t="shared" si="35"/>
        <v>6.3829787234042552</v>
      </c>
      <c r="U63" s="79">
        <v>0</v>
      </c>
      <c r="V63" s="79">
        <f>R63/F63*100</f>
        <v>51.640624999999993</v>
      </c>
      <c r="W63" s="47">
        <f>F63-R63</f>
        <v>154750000</v>
      </c>
      <c r="X63" s="247">
        <f t="shared" si="22"/>
        <v>153250000</v>
      </c>
      <c r="Y63" s="247">
        <f t="shared" si="20"/>
        <v>12000000</v>
      </c>
      <c r="Z63" s="247">
        <f t="shared" si="21"/>
        <v>0</v>
      </c>
      <c r="AA63" s="93"/>
    </row>
    <row r="64" spans="1:27">
      <c r="A64" s="44" t="s">
        <v>100</v>
      </c>
      <c r="B64" s="45" t="s">
        <v>101</v>
      </c>
      <c r="C64" s="46">
        <v>36000000</v>
      </c>
      <c r="D64" s="46">
        <v>72000000</v>
      </c>
      <c r="E64" s="46">
        <v>0</v>
      </c>
      <c r="F64" s="46">
        <f t="shared" si="0"/>
        <v>108000000</v>
      </c>
      <c r="G64" s="47">
        <v>0</v>
      </c>
      <c r="H64" s="47">
        <v>0</v>
      </c>
      <c r="I64" s="47">
        <v>0</v>
      </c>
      <c r="J64" s="47">
        <f t="shared" si="9"/>
        <v>0</v>
      </c>
      <c r="K64" s="47"/>
      <c r="L64" s="47">
        <v>0</v>
      </c>
      <c r="M64" s="47">
        <v>0</v>
      </c>
      <c r="N64" s="47">
        <f t="shared" si="3"/>
        <v>0</v>
      </c>
      <c r="O64" s="47">
        <f t="shared" si="11"/>
        <v>0</v>
      </c>
      <c r="P64" s="47">
        <f t="shared" si="4"/>
        <v>0</v>
      </c>
      <c r="Q64" s="47">
        <f t="shared" si="5"/>
        <v>0</v>
      </c>
      <c r="R64" s="47">
        <f t="shared" si="6"/>
        <v>0</v>
      </c>
      <c r="S64" s="79">
        <f t="shared" si="12"/>
        <v>0</v>
      </c>
      <c r="T64" s="79">
        <f t="shared" si="35"/>
        <v>0</v>
      </c>
      <c r="U64" s="79">
        <v>0</v>
      </c>
      <c r="V64" s="79">
        <f t="shared" si="13"/>
        <v>0</v>
      </c>
      <c r="W64" s="47">
        <f t="shared" si="7"/>
        <v>108000000</v>
      </c>
      <c r="X64" s="247">
        <f t="shared" si="22"/>
        <v>0</v>
      </c>
      <c r="Y64" s="247">
        <f t="shared" si="20"/>
        <v>0</v>
      </c>
      <c r="Z64" s="247">
        <f t="shared" si="21"/>
        <v>0</v>
      </c>
      <c r="AA64" s="93"/>
    </row>
    <row r="65" spans="1:27" s="6" customFormat="1" ht="17.25" customHeight="1">
      <c r="A65" s="38" t="s">
        <v>102</v>
      </c>
      <c r="B65" s="61" t="s">
        <v>103</v>
      </c>
      <c r="C65" s="62">
        <f>C66+C68+C86+C88+C91+C93</f>
        <v>2826412917</v>
      </c>
      <c r="D65" s="62">
        <f t="shared" ref="D65:M65" si="53">D66+D68+D86+D88+D91+D93</f>
        <v>0</v>
      </c>
      <c r="E65" s="62">
        <f>E66+E68+E86+E88+E91+E93</f>
        <v>0</v>
      </c>
      <c r="F65" s="62">
        <f t="shared" si="0"/>
        <v>2826412917</v>
      </c>
      <c r="G65" s="62">
        <f t="shared" ref="G65:I65" si="54">G66+G68+G86+G88+G91+G93</f>
        <v>1753011180</v>
      </c>
      <c r="H65" s="62">
        <f t="shared" si="54"/>
        <v>0</v>
      </c>
      <c r="I65" s="62">
        <f t="shared" si="54"/>
        <v>0</v>
      </c>
      <c r="J65" s="62">
        <f t="shared" si="9"/>
        <v>1753011180</v>
      </c>
      <c r="K65" s="62">
        <f t="shared" si="53"/>
        <v>0</v>
      </c>
      <c r="L65" s="62">
        <f t="shared" si="53"/>
        <v>0</v>
      </c>
      <c r="M65" s="62">
        <f t="shared" si="53"/>
        <v>0</v>
      </c>
      <c r="N65" s="62">
        <f t="shared" si="3"/>
        <v>0</v>
      </c>
      <c r="O65" s="62">
        <f t="shared" si="11"/>
        <v>1753011180</v>
      </c>
      <c r="P65" s="62">
        <f t="shared" si="4"/>
        <v>0</v>
      </c>
      <c r="Q65" s="62">
        <f t="shared" si="5"/>
        <v>0</v>
      </c>
      <c r="R65" s="62">
        <f t="shared" si="6"/>
        <v>1753011180</v>
      </c>
      <c r="S65" s="85">
        <f t="shared" si="12"/>
        <v>62.022472705816611</v>
      </c>
      <c r="T65" s="85">
        <v>0</v>
      </c>
      <c r="U65" s="85">
        <v>0</v>
      </c>
      <c r="V65" s="85">
        <f t="shared" si="13"/>
        <v>62.022472705816611</v>
      </c>
      <c r="W65" s="62">
        <f t="shared" si="7"/>
        <v>1073401737</v>
      </c>
      <c r="X65" s="247">
        <f t="shared" si="22"/>
        <v>1753011180</v>
      </c>
      <c r="Y65" s="247">
        <f t="shared" si="20"/>
        <v>0</v>
      </c>
      <c r="Z65" s="247">
        <f t="shared" si="21"/>
        <v>0</v>
      </c>
      <c r="AA65" s="93"/>
    </row>
    <row r="66" spans="1:27" s="5" customFormat="1">
      <c r="A66" s="59" t="s">
        <v>104</v>
      </c>
      <c r="B66" s="59" t="s">
        <v>105</v>
      </c>
      <c r="C66" s="60">
        <f>C67</f>
        <v>49973200</v>
      </c>
      <c r="D66" s="60">
        <f>D67</f>
        <v>0</v>
      </c>
      <c r="E66" s="60">
        <f>E67</f>
        <v>0</v>
      </c>
      <c r="F66" s="60">
        <f t="shared" si="0"/>
        <v>49973200</v>
      </c>
      <c r="G66" s="60">
        <f t="shared" ref="G66:I66" si="55">G67</f>
        <v>22248840</v>
      </c>
      <c r="H66" s="60">
        <f t="shared" si="55"/>
        <v>0</v>
      </c>
      <c r="I66" s="60">
        <f t="shared" si="55"/>
        <v>0</v>
      </c>
      <c r="J66" s="60">
        <f t="shared" si="9"/>
        <v>22248840</v>
      </c>
      <c r="K66" s="60">
        <f t="shared" ref="K66:M66" si="56">K67</f>
        <v>0</v>
      </c>
      <c r="L66" s="60">
        <f t="shared" si="56"/>
        <v>0</v>
      </c>
      <c r="M66" s="60">
        <f t="shared" si="56"/>
        <v>0</v>
      </c>
      <c r="N66" s="60">
        <f t="shared" si="3"/>
        <v>0</v>
      </c>
      <c r="O66" s="60">
        <f t="shared" si="11"/>
        <v>22248840</v>
      </c>
      <c r="P66" s="60">
        <f t="shared" si="4"/>
        <v>0</v>
      </c>
      <c r="Q66" s="60">
        <f t="shared" si="5"/>
        <v>0</v>
      </c>
      <c r="R66" s="60">
        <f t="shared" si="6"/>
        <v>22248840</v>
      </c>
      <c r="S66" s="84">
        <f t="shared" si="12"/>
        <v>44.521543547341373</v>
      </c>
      <c r="T66" s="84">
        <v>0</v>
      </c>
      <c r="U66" s="84">
        <v>0</v>
      </c>
      <c r="V66" s="84">
        <f t="shared" si="13"/>
        <v>44.521543547341373</v>
      </c>
      <c r="W66" s="60">
        <f t="shared" si="7"/>
        <v>27724360</v>
      </c>
      <c r="X66" s="247">
        <f t="shared" si="22"/>
        <v>22248840</v>
      </c>
      <c r="Y66" s="247">
        <f t="shared" si="20"/>
        <v>0</v>
      </c>
      <c r="Z66" s="247">
        <f t="shared" si="21"/>
        <v>0</v>
      </c>
      <c r="AA66" s="93"/>
    </row>
    <row r="67" spans="1:27">
      <c r="A67" s="44" t="s">
        <v>106</v>
      </c>
      <c r="B67" s="45" t="s">
        <v>107</v>
      </c>
      <c r="C67" s="46">
        <v>49973200</v>
      </c>
      <c r="D67" s="46">
        <v>0</v>
      </c>
      <c r="E67" s="46">
        <v>0</v>
      </c>
      <c r="F67" s="46">
        <f t="shared" si="0"/>
        <v>49973200</v>
      </c>
      <c r="G67" s="63">
        <v>22248840</v>
      </c>
      <c r="H67" s="47">
        <v>0</v>
      </c>
      <c r="I67" s="47">
        <v>0</v>
      </c>
      <c r="J67" s="47">
        <f t="shared" si="9"/>
        <v>22248840</v>
      </c>
      <c r="K67" s="63"/>
      <c r="L67" s="47"/>
      <c r="M67" s="47"/>
      <c r="N67" s="47">
        <f t="shared" si="3"/>
        <v>0</v>
      </c>
      <c r="O67" s="47">
        <f t="shared" si="11"/>
        <v>22248840</v>
      </c>
      <c r="P67" s="47">
        <f t="shared" si="4"/>
        <v>0</v>
      </c>
      <c r="Q67" s="47">
        <f t="shared" si="5"/>
        <v>0</v>
      </c>
      <c r="R67" s="47">
        <f t="shared" si="6"/>
        <v>22248840</v>
      </c>
      <c r="S67" s="79">
        <f t="shared" si="12"/>
        <v>44.521543547341373</v>
      </c>
      <c r="T67" s="79">
        <v>0</v>
      </c>
      <c r="U67" s="79">
        <v>0</v>
      </c>
      <c r="V67" s="79">
        <f t="shared" si="13"/>
        <v>44.521543547341373</v>
      </c>
      <c r="W67" s="47">
        <f t="shared" si="7"/>
        <v>27724360</v>
      </c>
      <c r="X67" s="247">
        <f t="shared" si="22"/>
        <v>22248840</v>
      </c>
      <c r="Y67" s="247">
        <f t="shared" si="20"/>
        <v>0</v>
      </c>
      <c r="Z67" s="247">
        <f t="shared" si="21"/>
        <v>0</v>
      </c>
      <c r="AA67" s="93"/>
    </row>
    <row r="68" spans="1:27" s="5" customFormat="1" ht="17.25" customHeight="1">
      <c r="A68" s="59" t="s">
        <v>108</v>
      </c>
      <c r="B68" s="59" t="s">
        <v>109</v>
      </c>
      <c r="C68" s="60">
        <f>SUM(C69:C85)</f>
        <v>1135140357</v>
      </c>
      <c r="D68" s="60">
        <f t="shared" ref="D68" si="57">SUM(D69:D80)</f>
        <v>0</v>
      </c>
      <c r="E68" s="60">
        <f>SUM(E69:E80)</f>
        <v>0</v>
      </c>
      <c r="F68" s="60">
        <f t="shared" si="0"/>
        <v>1135140357</v>
      </c>
      <c r="G68" s="60">
        <f>SUM(G69:G85)</f>
        <v>802809470</v>
      </c>
      <c r="H68" s="60">
        <f t="shared" ref="H68:I68" si="58">SUM(H69:H85)</f>
        <v>0</v>
      </c>
      <c r="I68" s="60">
        <f t="shared" si="58"/>
        <v>0</v>
      </c>
      <c r="J68" s="60">
        <f t="shared" si="9"/>
        <v>802809470</v>
      </c>
      <c r="K68" s="60">
        <f t="shared" ref="K68:N68" si="59">SUM(K69:K85)</f>
        <v>0</v>
      </c>
      <c r="L68" s="60">
        <f t="shared" si="59"/>
        <v>0</v>
      </c>
      <c r="M68" s="60">
        <f t="shared" si="59"/>
        <v>0</v>
      </c>
      <c r="N68" s="60">
        <f t="shared" si="59"/>
        <v>0</v>
      </c>
      <c r="O68" s="60">
        <f t="shared" si="11"/>
        <v>802809470</v>
      </c>
      <c r="P68" s="60">
        <f t="shared" si="4"/>
        <v>0</v>
      </c>
      <c r="Q68" s="60">
        <f t="shared" si="5"/>
        <v>0</v>
      </c>
      <c r="R68" s="60">
        <f t="shared" si="6"/>
        <v>802809470</v>
      </c>
      <c r="S68" s="84">
        <f t="shared" si="12"/>
        <v>70.72336606212302</v>
      </c>
      <c r="T68" s="84">
        <v>0</v>
      </c>
      <c r="U68" s="84">
        <v>0</v>
      </c>
      <c r="V68" s="84">
        <f t="shared" si="13"/>
        <v>70.72336606212302</v>
      </c>
      <c r="W68" s="60">
        <f t="shared" si="7"/>
        <v>332330887</v>
      </c>
      <c r="X68" s="247">
        <f t="shared" si="22"/>
        <v>802809470</v>
      </c>
      <c r="Y68" s="247">
        <f t="shared" si="20"/>
        <v>0</v>
      </c>
      <c r="Z68" s="247">
        <f t="shared" si="21"/>
        <v>0</v>
      </c>
      <c r="AA68" s="93"/>
    </row>
    <row r="69" spans="1:27">
      <c r="A69" s="44" t="s">
        <v>110</v>
      </c>
      <c r="B69" s="45" t="s">
        <v>111</v>
      </c>
      <c r="C69" s="46">
        <f>66883453+111000</f>
        <v>66994453</v>
      </c>
      <c r="D69" s="46">
        <v>0</v>
      </c>
      <c r="E69" s="46">
        <v>0</v>
      </c>
      <c r="F69" s="46">
        <f t="shared" si="0"/>
        <v>66994453</v>
      </c>
      <c r="G69" s="47">
        <v>24091390</v>
      </c>
      <c r="H69" s="47">
        <v>0</v>
      </c>
      <c r="I69" s="47">
        <v>0</v>
      </c>
      <c r="J69" s="47">
        <f t="shared" si="9"/>
        <v>24091390</v>
      </c>
      <c r="K69" s="47"/>
      <c r="L69" s="47"/>
      <c r="M69" s="47"/>
      <c r="N69" s="47">
        <f t="shared" si="3"/>
        <v>0</v>
      </c>
      <c r="O69" s="47">
        <f t="shared" si="11"/>
        <v>24091390</v>
      </c>
      <c r="P69" s="47">
        <f t="shared" si="4"/>
        <v>0</v>
      </c>
      <c r="Q69" s="47">
        <f t="shared" si="5"/>
        <v>0</v>
      </c>
      <c r="R69" s="47">
        <f t="shared" si="6"/>
        <v>24091390</v>
      </c>
      <c r="S69" s="79">
        <f t="shared" si="12"/>
        <v>35.960275696258016</v>
      </c>
      <c r="T69" s="79">
        <v>0</v>
      </c>
      <c r="U69" s="79">
        <v>0</v>
      </c>
      <c r="V69" s="79">
        <f t="shared" si="13"/>
        <v>35.960275696258016</v>
      </c>
      <c r="W69" s="47">
        <f t="shared" si="7"/>
        <v>42903063</v>
      </c>
      <c r="X69" s="247">
        <f t="shared" si="22"/>
        <v>24091390</v>
      </c>
      <c r="Y69" s="247">
        <f t="shared" si="20"/>
        <v>0</v>
      </c>
      <c r="Z69" s="247">
        <f t="shared" si="21"/>
        <v>0</v>
      </c>
      <c r="AA69" s="93"/>
    </row>
    <row r="70" spans="1:27">
      <c r="A70" s="44" t="s">
        <v>338</v>
      </c>
      <c r="B70" s="45" t="s">
        <v>339</v>
      </c>
      <c r="C70" s="46">
        <v>25150900</v>
      </c>
      <c r="D70" s="46">
        <v>0</v>
      </c>
      <c r="E70" s="46">
        <v>0</v>
      </c>
      <c r="F70" s="46">
        <f t="shared" si="0"/>
        <v>25150900</v>
      </c>
      <c r="G70" s="47">
        <v>13215660</v>
      </c>
      <c r="H70" s="47">
        <v>0</v>
      </c>
      <c r="I70" s="47">
        <v>0</v>
      </c>
      <c r="J70" s="47">
        <f t="shared" si="9"/>
        <v>13215660</v>
      </c>
      <c r="K70" s="47"/>
      <c r="L70" s="47"/>
      <c r="M70" s="47"/>
      <c r="N70" s="47">
        <f t="shared" si="3"/>
        <v>0</v>
      </c>
      <c r="O70" s="47">
        <f t="shared" si="11"/>
        <v>13215660</v>
      </c>
      <c r="P70" s="47">
        <f t="shared" si="4"/>
        <v>0</v>
      </c>
      <c r="Q70" s="47">
        <f t="shared" si="5"/>
        <v>0</v>
      </c>
      <c r="R70" s="47">
        <f t="shared" si="6"/>
        <v>13215660</v>
      </c>
      <c r="S70" s="79">
        <f t="shared" si="12"/>
        <v>52.545475509822715</v>
      </c>
      <c r="T70" s="79">
        <v>0</v>
      </c>
      <c r="U70" s="79">
        <v>0</v>
      </c>
      <c r="V70" s="79">
        <f t="shared" si="13"/>
        <v>52.545475509822715</v>
      </c>
      <c r="W70" s="47">
        <f t="shared" si="7"/>
        <v>11935240</v>
      </c>
      <c r="X70" s="247">
        <f t="shared" si="22"/>
        <v>13215660</v>
      </c>
      <c r="Y70" s="247">
        <f t="shared" si="20"/>
        <v>0</v>
      </c>
      <c r="Z70" s="247">
        <f t="shared" si="21"/>
        <v>0</v>
      </c>
      <c r="AA70" s="93"/>
    </row>
    <row r="71" spans="1:27">
      <c r="A71" s="44" t="s">
        <v>114</v>
      </c>
      <c r="B71" s="45" t="s">
        <v>115</v>
      </c>
      <c r="C71" s="46">
        <v>24333000</v>
      </c>
      <c r="D71" s="46">
        <v>0</v>
      </c>
      <c r="E71" s="46">
        <v>0</v>
      </c>
      <c r="F71" s="46">
        <f t="shared" si="0"/>
        <v>24333000</v>
      </c>
      <c r="G71" s="47">
        <v>9962250</v>
      </c>
      <c r="H71" s="47">
        <v>0</v>
      </c>
      <c r="I71" s="47">
        <v>0</v>
      </c>
      <c r="J71" s="47">
        <f t="shared" si="9"/>
        <v>9962250</v>
      </c>
      <c r="K71" s="47"/>
      <c r="L71" s="47"/>
      <c r="M71" s="47"/>
      <c r="N71" s="47">
        <f t="shared" si="3"/>
        <v>0</v>
      </c>
      <c r="O71" s="47">
        <f t="shared" si="11"/>
        <v>9962250</v>
      </c>
      <c r="P71" s="47">
        <f t="shared" si="4"/>
        <v>0</v>
      </c>
      <c r="Q71" s="47">
        <f t="shared" si="5"/>
        <v>0</v>
      </c>
      <c r="R71" s="47">
        <f t="shared" si="6"/>
        <v>9962250</v>
      </c>
      <c r="S71" s="79">
        <f t="shared" si="12"/>
        <v>40.941314264578963</v>
      </c>
      <c r="T71" s="79">
        <v>0</v>
      </c>
      <c r="U71" s="79">
        <v>0</v>
      </c>
      <c r="V71" s="79">
        <f t="shared" si="13"/>
        <v>40.941314264578963</v>
      </c>
      <c r="W71" s="47">
        <f t="shared" si="7"/>
        <v>14370750</v>
      </c>
      <c r="X71" s="247">
        <f t="shared" si="22"/>
        <v>9962250</v>
      </c>
      <c r="Y71" s="247">
        <f t="shared" si="20"/>
        <v>0</v>
      </c>
      <c r="Z71" s="247">
        <f t="shared" si="21"/>
        <v>0</v>
      </c>
      <c r="AA71" s="93"/>
    </row>
    <row r="72" spans="1:27">
      <c r="A72" s="44" t="s">
        <v>330</v>
      </c>
      <c r="B72" s="45" t="s">
        <v>331</v>
      </c>
      <c r="C72" s="46">
        <v>34386000</v>
      </c>
      <c r="D72" s="46">
        <v>0</v>
      </c>
      <c r="E72" s="46">
        <v>0</v>
      </c>
      <c r="F72" s="46">
        <f t="shared" si="0"/>
        <v>34386000</v>
      </c>
      <c r="G72" s="48">
        <v>0</v>
      </c>
      <c r="H72" s="47">
        <v>0</v>
      </c>
      <c r="I72" s="47">
        <v>0</v>
      </c>
      <c r="J72" s="47">
        <f t="shared" si="9"/>
        <v>0</v>
      </c>
      <c r="K72" s="47"/>
      <c r="L72" s="47"/>
      <c r="M72" s="47"/>
      <c r="N72" s="47">
        <f t="shared" si="3"/>
        <v>0</v>
      </c>
      <c r="O72" s="47">
        <f t="shared" si="11"/>
        <v>0</v>
      </c>
      <c r="P72" s="47">
        <f t="shared" si="4"/>
        <v>0</v>
      </c>
      <c r="Q72" s="47">
        <f t="shared" si="5"/>
        <v>0</v>
      </c>
      <c r="R72" s="47">
        <f t="shared" si="6"/>
        <v>0</v>
      </c>
      <c r="S72" s="79">
        <f t="shared" si="12"/>
        <v>0</v>
      </c>
      <c r="T72" s="79">
        <v>0</v>
      </c>
      <c r="U72" s="79">
        <v>0</v>
      </c>
      <c r="V72" s="79">
        <f t="shared" si="13"/>
        <v>0</v>
      </c>
      <c r="W72" s="47">
        <f t="shared" si="7"/>
        <v>34386000</v>
      </c>
      <c r="X72" s="247">
        <f t="shared" si="22"/>
        <v>0</v>
      </c>
      <c r="Y72" s="247">
        <f t="shared" si="20"/>
        <v>0</v>
      </c>
      <c r="Z72" s="247">
        <f t="shared" si="21"/>
        <v>0</v>
      </c>
      <c r="AA72" s="93"/>
    </row>
    <row r="73" spans="1:27">
      <c r="A73" s="44" t="s">
        <v>513</v>
      </c>
      <c r="B73" s="45" t="s">
        <v>527</v>
      </c>
      <c r="C73" s="46">
        <v>13125000</v>
      </c>
      <c r="D73" s="46">
        <v>0</v>
      </c>
      <c r="E73" s="46">
        <v>0</v>
      </c>
      <c r="F73" s="46">
        <f t="shared" si="0"/>
        <v>13125000</v>
      </c>
      <c r="G73" s="48">
        <v>13125000</v>
      </c>
      <c r="H73" s="47"/>
      <c r="I73" s="47"/>
      <c r="J73" s="47">
        <f t="shared" si="9"/>
        <v>13125000</v>
      </c>
      <c r="K73" s="47"/>
      <c r="L73" s="47"/>
      <c r="M73" s="47"/>
      <c r="N73" s="47">
        <f t="shared" si="3"/>
        <v>0</v>
      </c>
      <c r="O73" s="47">
        <f t="shared" ref="O73" si="60">K73+G73</f>
        <v>13125000</v>
      </c>
      <c r="P73" s="47">
        <f t="shared" ref="P73" si="61">L73+H73</f>
        <v>0</v>
      </c>
      <c r="Q73" s="47">
        <f t="shared" ref="Q73" si="62">M73+I73</f>
        <v>0</v>
      </c>
      <c r="R73" s="47">
        <f t="shared" ref="R73" si="63">SUM(O73:Q73)</f>
        <v>13125000</v>
      </c>
      <c r="S73" s="79">
        <f t="shared" ref="S73" si="64">O73/C73*100</f>
        <v>100</v>
      </c>
      <c r="T73" s="79">
        <v>0</v>
      </c>
      <c r="U73" s="79">
        <v>0</v>
      </c>
      <c r="V73" s="79">
        <f t="shared" ref="V73" si="65">R73/F73*100</f>
        <v>100</v>
      </c>
      <c r="W73" s="47">
        <f t="shared" ref="W73" si="66">F73-R73</f>
        <v>0</v>
      </c>
      <c r="X73" s="247"/>
      <c r="Y73" s="247"/>
      <c r="Z73" s="247"/>
      <c r="AA73" s="93"/>
    </row>
    <row r="74" spans="1:27" ht="16.5" customHeight="1">
      <c r="A74" s="44" t="s">
        <v>118</v>
      </c>
      <c r="B74" s="45" t="s">
        <v>119</v>
      </c>
      <c r="C74" s="46">
        <v>98964800</v>
      </c>
      <c r="D74" s="46">
        <v>0</v>
      </c>
      <c r="E74" s="46">
        <v>0</v>
      </c>
      <c r="F74" s="46">
        <f t="shared" si="0"/>
        <v>98964800</v>
      </c>
      <c r="G74" s="47">
        <v>43825170</v>
      </c>
      <c r="H74" s="47">
        <v>0</v>
      </c>
      <c r="I74" s="47">
        <v>0</v>
      </c>
      <c r="J74" s="47">
        <f t="shared" si="9"/>
        <v>43825170</v>
      </c>
      <c r="K74" s="47"/>
      <c r="L74" s="47"/>
      <c r="M74" s="47"/>
      <c r="N74" s="47">
        <f t="shared" si="3"/>
        <v>0</v>
      </c>
      <c r="O74" s="47">
        <f t="shared" si="11"/>
        <v>43825170</v>
      </c>
      <c r="P74" s="47">
        <f t="shared" si="4"/>
        <v>0</v>
      </c>
      <c r="Q74" s="47">
        <f t="shared" si="5"/>
        <v>0</v>
      </c>
      <c r="R74" s="47">
        <f t="shared" si="6"/>
        <v>43825170</v>
      </c>
      <c r="S74" s="79">
        <f t="shared" si="12"/>
        <v>44.283593762630751</v>
      </c>
      <c r="T74" s="79">
        <v>0</v>
      </c>
      <c r="U74" s="79">
        <v>0</v>
      </c>
      <c r="V74" s="79">
        <f t="shared" si="13"/>
        <v>44.283593762630751</v>
      </c>
      <c r="W74" s="47">
        <f t="shared" si="7"/>
        <v>55139630</v>
      </c>
      <c r="X74" s="247">
        <f t="shared" si="22"/>
        <v>43825170</v>
      </c>
      <c r="Y74" s="247">
        <f t="shared" si="20"/>
        <v>0</v>
      </c>
      <c r="Z74" s="247">
        <f t="shared" si="21"/>
        <v>0</v>
      </c>
      <c r="AA74" s="93"/>
    </row>
    <row r="75" spans="1:27" ht="16.5" customHeight="1">
      <c r="A75" s="44" t="s">
        <v>528</v>
      </c>
      <c r="B75" s="45" t="s">
        <v>529</v>
      </c>
      <c r="C75" s="46">
        <v>46176000</v>
      </c>
      <c r="D75" s="46"/>
      <c r="E75" s="46"/>
      <c r="F75" s="46">
        <f t="shared" si="0"/>
        <v>46176000</v>
      </c>
      <c r="G75" s="47">
        <v>46176000</v>
      </c>
      <c r="H75" s="47">
        <v>0</v>
      </c>
      <c r="I75" s="47">
        <v>0</v>
      </c>
      <c r="J75" s="47">
        <f t="shared" si="9"/>
        <v>46176000</v>
      </c>
      <c r="K75" s="47"/>
      <c r="L75" s="47">
        <v>0</v>
      </c>
      <c r="M75" s="47">
        <v>0</v>
      </c>
      <c r="N75" s="47">
        <f t="shared" si="3"/>
        <v>0</v>
      </c>
      <c r="O75" s="47">
        <f t="shared" si="11"/>
        <v>46176000</v>
      </c>
      <c r="P75" s="47">
        <f t="shared" si="4"/>
        <v>0</v>
      </c>
      <c r="Q75" s="47">
        <f t="shared" si="5"/>
        <v>0</v>
      </c>
      <c r="R75" s="47">
        <f t="shared" si="6"/>
        <v>46176000</v>
      </c>
      <c r="S75" s="79">
        <f t="shared" ref="S75" si="67">O75/C75*100</f>
        <v>100</v>
      </c>
      <c r="T75" s="79">
        <v>0</v>
      </c>
      <c r="U75" s="79">
        <v>0</v>
      </c>
      <c r="V75" s="79">
        <f t="shared" ref="V75" si="68">R75/F75*100</f>
        <v>100</v>
      </c>
      <c r="W75" s="47">
        <f t="shared" ref="W75" si="69">F75-R75</f>
        <v>0</v>
      </c>
      <c r="X75" s="247">
        <f t="shared" si="22"/>
        <v>46176000</v>
      </c>
      <c r="Y75" s="247">
        <f t="shared" si="20"/>
        <v>0</v>
      </c>
      <c r="Z75" s="247">
        <f t="shared" si="21"/>
        <v>0</v>
      </c>
      <c r="AA75" s="93"/>
    </row>
    <row r="76" spans="1:27" ht="16.5" customHeight="1">
      <c r="A76" s="44" t="s">
        <v>302</v>
      </c>
      <c r="B76" s="45" t="s">
        <v>120</v>
      </c>
      <c r="C76" s="46">
        <f>180000000-66912000</f>
        <v>113088000</v>
      </c>
      <c r="D76" s="46">
        <v>0</v>
      </c>
      <c r="E76" s="46">
        <v>0</v>
      </c>
      <c r="F76" s="46">
        <f t="shared" si="0"/>
        <v>113088000</v>
      </c>
      <c r="G76" s="47">
        <v>67480000</v>
      </c>
      <c r="H76" s="47">
        <v>0</v>
      </c>
      <c r="I76" s="47">
        <v>0</v>
      </c>
      <c r="J76" s="47">
        <f t="shared" si="9"/>
        <v>67480000</v>
      </c>
      <c r="K76" s="47"/>
      <c r="L76" s="47">
        <v>0</v>
      </c>
      <c r="M76" s="47">
        <v>0</v>
      </c>
      <c r="N76" s="47">
        <f t="shared" ref="N76" si="70">SUM(K76:M76)</f>
        <v>0</v>
      </c>
      <c r="O76" s="47">
        <f t="shared" ref="O76" si="71">K76+G76</f>
        <v>67480000</v>
      </c>
      <c r="P76" s="47">
        <f t="shared" ref="P76" si="72">L76+H76</f>
        <v>0</v>
      </c>
      <c r="Q76" s="47">
        <f t="shared" ref="Q76" si="73">M76+I76</f>
        <v>0</v>
      </c>
      <c r="R76" s="47">
        <f t="shared" ref="R76" si="74">SUM(O76:Q76)</f>
        <v>67480000</v>
      </c>
      <c r="S76" s="79">
        <f t="shared" ref="S76" si="75">O76/C76*100</f>
        <v>59.670345217883416</v>
      </c>
      <c r="T76" s="79">
        <v>0</v>
      </c>
      <c r="U76" s="79">
        <v>0</v>
      </c>
      <c r="V76" s="79">
        <f t="shared" ref="V76" si="76">R76/F76*100</f>
        <v>59.670345217883416</v>
      </c>
      <c r="W76" s="47">
        <f t="shared" ref="W76" si="77">F76-R76</f>
        <v>45608000</v>
      </c>
      <c r="X76" s="247">
        <f t="shared" si="22"/>
        <v>67480000</v>
      </c>
      <c r="Y76" s="247">
        <f t="shared" si="20"/>
        <v>0</v>
      </c>
      <c r="Z76" s="247">
        <f t="shared" si="21"/>
        <v>0</v>
      </c>
      <c r="AA76" s="93"/>
    </row>
    <row r="77" spans="1:27" ht="16.5" customHeight="1">
      <c r="A77" s="44" t="s">
        <v>530</v>
      </c>
      <c r="B77" s="45" t="s">
        <v>531</v>
      </c>
      <c r="C77" s="46">
        <v>7500000</v>
      </c>
      <c r="D77" s="46">
        <v>0</v>
      </c>
      <c r="E77" s="46">
        <v>0</v>
      </c>
      <c r="F77" s="46">
        <f t="shared" si="0"/>
        <v>7500000</v>
      </c>
      <c r="G77" s="47">
        <v>7500000</v>
      </c>
      <c r="H77" s="47"/>
      <c r="I77" s="47"/>
      <c r="J77" s="47">
        <f t="shared" ref="J77" si="78">G77+H77+I77</f>
        <v>7500000</v>
      </c>
      <c r="K77" s="47"/>
      <c r="L77" s="47"/>
      <c r="M77" s="47"/>
      <c r="N77" s="47"/>
      <c r="O77" s="47"/>
      <c r="P77" s="47"/>
      <c r="Q77" s="47"/>
      <c r="R77" s="47"/>
      <c r="S77" s="79"/>
      <c r="T77" s="79"/>
      <c r="U77" s="79"/>
      <c r="V77" s="79"/>
      <c r="W77" s="47"/>
      <c r="X77" s="247"/>
      <c r="Y77" s="247"/>
      <c r="Z77" s="247"/>
      <c r="AA77" s="93"/>
    </row>
    <row r="78" spans="1:27">
      <c r="A78" s="44" t="s">
        <v>151</v>
      </c>
      <c r="B78" s="45" t="s">
        <v>152</v>
      </c>
      <c r="C78" s="46">
        <v>5135500</v>
      </c>
      <c r="D78" s="46">
        <v>0</v>
      </c>
      <c r="E78" s="46">
        <v>0</v>
      </c>
      <c r="F78" s="46">
        <f t="shared" si="0"/>
        <v>5135500</v>
      </c>
      <c r="G78" s="48">
        <v>0</v>
      </c>
      <c r="H78" s="47">
        <v>0</v>
      </c>
      <c r="I78" s="47">
        <v>0</v>
      </c>
      <c r="J78" s="47">
        <f t="shared" si="9"/>
        <v>0</v>
      </c>
      <c r="K78" s="47"/>
      <c r="L78" s="47"/>
      <c r="M78" s="47"/>
      <c r="N78" s="47">
        <f t="shared" si="3"/>
        <v>0</v>
      </c>
      <c r="O78" s="47">
        <f t="shared" si="11"/>
        <v>0</v>
      </c>
      <c r="P78" s="47">
        <f t="shared" si="4"/>
        <v>0</v>
      </c>
      <c r="Q78" s="47">
        <f t="shared" si="5"/>
        <v>0</v>
      </c>
      <c r="R78" s="47">
        <f t="shared" si="6"/>
        <v>0</v>
      </c>
      <c r="S78" s="79">
        <f t="shared" si="12"/>
        <v>0</v>
      </c>
      <c r="T78" s="79">
        <v>0</v>
      </c>
      <c r="U78" s="79">
        <v>0</v>
      </c>
      <c r="V78" s="79">
        <f t="shared" si="13"/>
        <v>0</v>
      </c>
      <c r="W78" s="47">
        <f t="shared" si="7"/>
        <v>5135500</v>
      </c>
      <c r="X78" s="247">
        <f t="shared" si="22"/>
        <v>0</v>
      </c>
      <c r="Y78" s="247">
        <f t="shared" si="20"/>
        <v>0</v>
      </c>
      <c r="Z78" s="247">
        <f t="shared" si="21"/>
        <v>0</v>
      </c>
      <c r="AA78" s="93"/>
    </row>
    <row r="79" spans="1:27">
      <c r="A79" s="44" t="s">
        <v>155</v>
      </c>
      <c r="B79" s="45" t="s">
        <v>156</v>
      </c>
      <c r="C79" s="46">
        <v>32429300</v>
      </c>
      <c r="D79" s="46">
        <v>0</v>
      </c>
      <c r="E79" s="46">
        <v>0</v>
      </c>
      <c r="F79" s="46">
        <f t="shared" si="0"/>
        <v>32429300</v>
      </c>
      <c r="G79" s="47">
        <v>0</v>
      </c>
      <c r="H79" s="47">
        <v>0</v>
      </c>
      <c r="I79" s="47">
        <v>0</v>
      </c>
      <c r="J79" s="47">
        <f t="shared" si="9"/>
        <v>0</v>
      </c>
      <c r="K79" s="47"/>
      <c r="L79" s="47"/>
      <c r="M79" s="47"/>
      <c r="N79" s="47">
        <f t="shared" si="3"/>
        <v>0</v>
      </c>
      <c r="O79" s="47">
        <f t="shared" si="11"/>
        <v>0</v>
      </c>
      <c r="P79" s="47">
        <f t="shared" si="4"/>
        <v>0</v>
      </c>
      <c r="Q79" s="47">
        <f t="shared" si="5"/>
        <v>0</v>
      </c>
      <c r="R79" s="47">
        <f t="shared" si="6"/>
        <v>0</v>
      </c>
      <c r="S79" s="79">
        <f t="shared" si="12"/>
        <v>0</v>
      </c>
      <c r="T79" s="79">
        <v>0</v>
      </c>
      <c r="U79" s="79">
        <v>0</v>
      </c>
      <c r="V79" s="79">
        <f t="shared" si="13"/>
        <v>0</v>
      </c>
      <c r="W79" s="47">
        <f t="shared" si="7"/>
        <v>32429300</v>
      </c>
      <c r="X79" s="247">
        <f t="shared" si="22"/>
        <v>0</v>
      </c>
      <c r="Y79" s="247">
        <f t="shared" si="20"/>
        <v>0</v>
      </c>
      <c r="Z79" s="247">
        <f t="shared" si="21"/>
        <v>0</v>
      </c>
      <c r="AA79" s="93"/>
    </row>
    <row r="80" spans="1:27">
      <c r="A80" s="44" t="s">
        <v>157</v>
      </c>
      <c r="B80" s="45" t="s">
        <v>158</v>
      </c>
      <c r="C80" s="95">
        <v>32578000</v>
      </c>
      <c r="D80" s="46">
        <v>0</v>
      </c>
      <c r="E80" s="46">
        <v>0</v>
      </c>
      <c r="F80" s="46">
        <f t="shared" si="0"/>
        <v>32578000</v>
      </c>
      <c r="G80" s="48">
        <v>0</v>
      </c>
      <c r="H80" s="47">
        <v>0</v>
      </c>
      <c r="I80" s="47">
        <v>0</v>
      </c>
      <c r="J80" s="47">
        <f t="shared" si="9"/>
        <v>0</v>
      </c>
      <c r="K80" s="47"/>
      <c r="L80" s="47"/>
      <c r="M80" s="47"/>
      <c r="N80" s="47">
        <f t="shared" si="3"/>
        <v>0</v>
      </c>
      <c r="O80" s="47">
        <f t="shared" si="11"/>
        <v>0</v>
      </c>
      <c r="P80" s="47">
        <f t="shared" si="4"/>
        <v>0</v>
      </c>
      <c r="Q80" s="47">
        <f t="shared" si="5"/>
        <v>0</v>
      </c>
      <c r="R80" s="47">
        <f t="shared" si="6"/>
        <v>0</v>
      </c>
      <c r="S80" s="79">
        <f t="shared" si="12"/>
        <v>0</v>
      </c>
      <c r="T80" s="79">
        <v>0</v>
      </c>
      <c r="U80" s="79">
        <v>0</v>
      </c>
      <c r="V80" s="79">
        <f t="shared" si="13"/>
        <v>0</v>
      </c>
      <c r="W80" s="47">
        <f t="shared" si="7"/>
        <v>32578000</v>
      </c>
      <c r="X80" s="247">
        <f t="shared" si="22"/>
        <v>0</v>
      </c>
      <c r="Y80" s="247">
        <f t="shared" si="20"/>
        <v>0</v>
      </c>
      <c r="Z80" s="247">
        <f t="shared" si="21"/>
        <v>0</v>
      </c>
      <c r="AA80" s="93"/>
    </row>
    <row r="81" spans="1:27">
      <c r="A81" s="44" t="s">
        <v>159</v>
      </c>
      <c r="B81" s="45" t="s">
        <v>160</v>
      </c>
      <c r="C81" s="95">
        <v>45935800</v>
      </c>
      <c r="D81" s="46">
        <v>0</v>
      </c>
      <c r="E81" s="46">
        <v>0</v>
      </c>
      <c r="F81" s="46">
        <f t="shared" si="0"/>
        <v>45935800</v>
      </c>
      <c r="G81" s="48">
        <v>0</v>
      </c>
      <c r="H81" s="47">
        <v>0</v>
      </c>
      <c r="I81" s="47">
        <v>0</v>
      </c>
      <c r="J81" s="47">
        <f t="shared" si="9"/>
        <v>0</v>
      </c>
      <c r="K81" s="47"/>
      <c r="L81" s="47"/>
      <c r="M81" s="47"/>
      <c r="N81" s="47">
        <f t="shared" ref="N81:N144" si="79">SUM(K81:M81)</f>
        <v>0</v>
      </c>
      <c r="O81" s="47">
        <f t="shared" ref="O81:O117" si="80">K81+G81</f>
        <v>0</v>
      </c>
      <c r="P81" s="47">
        <f t="shared" ref="P81:P118" si="81">L81+H81</f>
        <v>0</v>
      </c>
      <c r="Q81" s="47">
        <f t="shared" ref="Q81:Q118" si="82">M81+I81</f>
        <v>0</v>
      </c>
      <c r="R81" s="47">
        <f t="shared" ref="R81:R116" si="83">SUM(O81:Q81)</f>
        <v>0</v>
      </c>
      <c r="S81" s="79">
        <f t="shared" si="12"/>
        <v>0</v>
      </c>
      <c r="T81" s="79">
        <v>0</v>
      </c>
      <c r="U81" s="79">
        <v>0</v>
      </c>
      <c r="V81" s="79">
        <f t="shared" si="13"/>
        <v>0</v>
      </c>
      <c r="W81" s="47">
        <f t="shared" ref="W81:W144" si="84">F81-R81</f>
        <v>45935800</v>
      </c>
      <c r="X81" s="247">
        <f t="shared" si="22"/>
        <v>0</v>
      </c>
      <c r="Y81" s="247">
        <f t="shared" si="20"/>
        <v>0</v>
      </c>
      <c r="Z81" s="247">
        <f t="shared" si="21"/>
        <v>0</v>
      </c>
      <c r="AA81" s="93"/>
    </row>
    <row r="82" spans="1:27">
      <c r="A82" s="44" t="s">
        <v>161</v>
      </c>
      <c r="B82" s="45" t="s">
        <v>162</v>
      </c>
      <c r="C82" s="95">
        <v>2371000</v>
      </c>
      <c r="D82" s="46">
        <v>0</v>
      </c>
      <c r="E82" s="46">
        <v>0</v>
      </c>
      <c r="F82" s="46">
        <f t="shared" si="0"/>
        <v>2371000</v>
      </c>
      <c r="G82" s="48">
        <v>0</v>
      </c>
      <c r="H82" s="47">
        <v>0</v>
      </c>
      <c r="I82" s="47">
        <v>0</v>
      </c>
      <c r="J82" s="47">
        <f t="shared" ref="J82:J145" si="85">G82+H82+I82</f>
        <v>0</v>
      </c>
      <c r="K82" s="47"/>
      <c r="L82" s="47"/>
      <c r="M82" s="47"/>
      <c r="N82" s="47">
        <f t="shared" si="79"/>
        <v>0</v>
      </c>
      <c r="O82" s="47">
        <f t="shared" si="80"/>
        <v>0</v>
      </c>
      <c r="P82" s="47">
        <f t="shared" si="81"/>
        <v>0</v>
      </c>
      <c r="Q82" s="47">
        <f t="shared" si="82"/>
        <v>0</v>
      </c>
      <c r="R82" s="47">
        <f t="shared" si="83"/>
        <v>0</v>
      </c>
      <c r="S82" s="79">
        <f t="shared" ref="S82:S145" si="86">O82/C82*100</f>
        <v>0</v>
      </c>
      <c r="T82" s="79">
        <v>0</v>
      </c>
      <c r="U82" s="79">
        <v>0</v>
      </c>
      <c r="V82" s="79">
        <f t="shared" ref="V82:V145" si="87">R82/F82*100</f>
        <v>0</v>
      </c>
      <c r="W82" s="47">
        <f t="shared" si="84"/>
        <v>2371000</v>
      </c>
      <c r="X82" s="247">
        <f t="shared" si="22"/>
        <v>0</v>
      </c>
      <c r="Y82" s="247">
        <f t="shared" si="20"/>
        <v>0</v>
      </c>
      <c r="Z82" s="247">
        <f t="shared" si="21"/>
        <v>0</v>
      </c>
      <c r="AA82" s="93"/>
    </row>
    <row r="83" spans="1:27">
      <c r="A83" s="44" t="s">
        <v>163</v>
      </c>
      <c r="B83" s="45" t="s">
        <v>164</v>
      </c>
      <c r="C83" s="95">
        <v>481817019</v>
      </c>
      <c r="D83" s="46">
        <v>0</v>
      </c>
      <c r="E83" s="46">
        <v>0</v>
      </c>
      <c r="F83" s="46">
        <f t="shared" si="0"/>
        <v>481817019</v>
      </c>
      <c r="G83" s="48">
        <v>474109000</v>
      </c>
      <c r="H83" s="47">
        <v>0</v>
      </c>
      <c r="I83" s="47">
        <v>0</v>
      </c>
      <c r="J83" s="47">
        <f t="shared" si="85"/>
        <v>474109000</v>
      </c>
      <c r="K83" s="47"/>
      <c r="L83" s="47"/>
      <c r="M83" s="47"/>
      <c r="N83" s="47">
        <f t="shared" si="79"/>
        <v>0</v>
      </c>
      <c r="O83" s="47">
        <f t="shared" si="80"/>
        <v>474109000</v>
      </c>
      <c r="P83" s="47">
        <f t="shared" si="81"/>
        <v>0</v>
      </c>
      <c r="Q83" s="47">
        <f t="shared" si="82"/>
        <v>0</v>
      </c>
      <c r="R83" s="47">
        <f t="shared" si="83"/>
        <v>474109000</v>
      </c>
      <c r="S83" s="79">
        <f t="shared" si="86"/>
        <v>98.40021861079174</v>
      </c>
      <c r="T83" s="79">
        <v>0</v>
      </c>
      <c r="U83" s="79">
        <v>0</v>
      </c>
      <c r="V83" s="79">
        <f t="shared" si="87"/>
        <v>98.40021861079174</v>
      </c>
      <c r="W83" s="47">
        <f t="shared" si="84"/>
        <v>7708019</v>
      </c>
      <c r="X83" s="247">
        <f t="shared" si="22"/>
        <v>474109000</v>
      </c>
      <c r="Y83" s="247">
        <f t="shared" si="20"/>
        <v>0</v>
      </c>
      <c r="Z83" s="247">
        <f t="shared" si="21"/>
        <v>0</v>
      </c>
      <c r="AA83" s="93"/>
    </row>
    <row r="84" spans="1:27">
      <c r="A84" s="44" t="s">
        <v>165</v>
      </c>
      <c r="B84" s="45" t="s">
        <v>166</v>
      </c>
      <c r="C84" s="95">
        <v>88029185</v>
      </c>
      <c r="D84" s="46">
        <v>0</v>
      </c>
      <c r="E84" s="46">
        <v>0</v>
      </c>
      <c r="F84" s="46">
        <f t="shared" si="0"/>
        <v>88029185</v>
      </c>
      <c r="G84" s="48">
        <v>86345000</v>
      </c>
      <c r="H84" s="47">
        <v>0</v>
      </c>
      <c r="I84" s="47">
        <v>0</v>
      </c>
      <c r="J84" s="47">
        <f t="shared" si="85"/>
        <v>86345000</v>
      </c>
      <c r="K84" s="47"/>
      <c r="L84" s="47"/>
      <c r="M84" s="47"/>
      <c r="N84" s="47">
        <f t="shared" si="79"/>
        <v>0</v>
      </c>
      <c r="O84" s="47">
        <f t="shared" si="80"/>
        <v>86345000</v>
      </c>
      <c r="P84" s="47">
        <f t="shared" si="81"/>
        <v>0</v>
      </c>
      <c r="Q84" s="47">
        <f t="shared" si="82"/>
        <v>0</v>
      </c>
      <c r="R84" s="47">
        <f t="shared" si="83"/>
        <v>86345000</v>
      </c>
      <c r="S84" s="79">
        <f t="shared" si="86"/>
        <v>98.086787921528526</v>
      </c>
      <c r="T84" s="79">
        <v>0</v>
      </c>
      <c r="U84" s="79">
        <v>0</v>
      </c>
      <c r="V84" s="79">
        <f t="shared" si="87"/>
        <v>98.086787921528526</v>
      </c>
      <c r="W84" s="47">
        <f t="shared" si="84"/>
        <v>1684185</v>
      </c>
      <c r="X84" s="247">
        <f t="shared" si="22"/>
        <v>86345000</v>
      </c>
      <c r="Y84" s="247">
        <f t="shared" si="20"/>
        <v>0</v>
      </c>
      <c r="Z84" s="247">
        <f t="shared" si="21"/>
        <v>0</v>
      </c>
      <c r="AA84" s="93"/>
    </row>
    <row r="85" spans="1:27">
      <c r="A85" s="44" t="s">
        <v>167</v>
      </c>
      <c r="B85" s="45" t="s">
        <v>168</v>
      </c>
      <c r="C85" s="95">
        <v>17126400</v>
      </c>
      <c r="D85" s="46">
        <v>0</v>
      </c>
      <c r="E85" s="46">
        <v>0</v>
      </c>
      <c r="F85" s="46">
        <f t="shared" si="0"/>
        <v>17126400</v>
      </c>
      <c r="G85" s="48">
        <v>16980000</v>
      </c>
      <c r="H85" s="47">
        <v>0</v>
      </c>
      <c r="I85" s="47">
        <v>0</v>
      </c>
      <c r="J85" s="47">
        <f t="shared" si="85"/>
        <v>16980000</v>
      </c>
      <c r="K85" s="47"/>
      <c r="L85" s="47"/>
      <c r="M85" s="47"/>
      <c r="N85" s="47">
        <f t="shared" si="79"/>
        <v>0</v>
      </c>
      <c r="O85" s="47">
        <f t="shared" si="80"/>
        <v>16980000</v>
      </c>
      <c r="P85" s="47">
        <f t="shared" si="81"/>
        <v>0</v>
      </c>
      <c r="Q85" s="47">
        <f t="shared" si="82"/>
        <v>0</v>
      </c>
      <c r="R85" s="47">
        <f t="shared" si="83"/>
        <v>16980000</v>
      </c>
      <c r="S85" s="79">
        <f t="shared" si="86"/>
        <v>99.145179372197305</v>
      </c>
      <c r="T85" s="79">
        <v>0</v>
      </c>
      <c r="U85" s="79">
        <v>0</v>
      </c>
      <c r="V85" s="79">
        <f t="shared" si="87"/>
        <v>99.145179372197305</v>
      </c>
      <c r="W85" s="47">
        <f t="shared" si="84"/>
        <v>146400</v>
      </c>
      <c r="X85" s="247">
        <f t="shared" si="22"/>
        <v>16980000</v>
      </c>
      <c r="Y85" s="247">
        <f t="shared" si="20"/>
        <v>0</v>
      </c>
      <c r="Z85" s="247">
        <f t="shared" si="21"/>
        <v>0</v>
      </c>
      <c r="AA85" s="93"/>
    </row>
    <row r="86" spans="1:27" s="7" customFormat="1">
      <c r="A86" s="96" t="s">
        <v>121</v>
      </c>
      <c r="B86" s="96" t="s">
        <v>122</v>
      </c>
      <c r="C86" s="60">
        <f t="shared" ref="C86:M86" si="88">SUM(C87:C87)</f>
        <v>415298000</v>
      </c>
      <c r="D86" s="60">
        <f t="shared" si="88"/>
        <v>0</v>
      </c>
      <c r="E86" s="60">
        <f t="shared" si="88"/>
        <v>0</v>
      </c>
      <c r="F86" s="60">
        <f t="shared" si="0"/>
        <v>415298000</v>
      </c>
      <c r="G86" s="60">
        <f t="shared" ref="G86:I86" si="89">SUM(G87:G87)</f>
        <v>145526000</v>
      </c>
      <c r="H86" s="60">
        <f t="shared" si="89"/>
        <v>0</v>
      </c>
      <c r="I86" s="60">
        <f t="shared" si="89"/>
        <v>0</v>
      </c>
      <c r="J86" s="60">
        <f t="shared" si="85"/>
        <v>145526000</v>
      </c>
      <c r="K86" s="60">
        <f t="shared" si="88"/>
        <v>0</v>
      </c>
      <c r="L86" s="60">
        <f t="shared" si="88"/>
        <v>0</v>
      </c>
      <c r="M86" s="60">
        <f t="shared" si="88"/>
        <v>0</v>
      </c>
      <c r="N86" s="60">
        <f t="shared" si="79"/>
        <v>0</v>
      </c>
      <c r="O86" s="60">
        <f t="shared" si="80"/>
        <v>145526000</v>
      </c>
      <c r="P86" s="60">
        <f t="shared" si="81"/>
        <v>0</v>
      </c>
      <c r="Q86" s="60">
        <f t="shared" si="82"/>
        <v>0</v>
      </c>
      <c r="R86" s="60">
        <f t="shared" si="83"/>
        <v>145526000</v>
      </c>
      <c r="S86" s="84">
        <f t="shared" si="86"/>
        <v>35.041343806134392</v>
      </c>
      <c r="T86" s="84">
        <v>0</v>
      </c>
      <c r="U86" s="84">
        <v>0</v>
      </c>
      <c r="V86" s="84">
        <f t="shared" si="87"/>
        <v>35.041343806134392</v>
      </c>
      <c r="W86" s="60">
        <f t="shared" si="84"/>
        <v>269772000</v>
      </c>
      <c r="X86" s="247">
        <f t="shared" si="22"/>
        <v>145526000</v>
      </c>
      <c r="Y86" s="247">
        <f t="shared" ref="Y86:Y149" si="90">H86+L86</f>
        <v>0</v>
      </c>
      <c r="Z86" s="247">
        <f t="shared" ref="Z86:Z149" si="91">I86+M86</f>
        <v>0</v>
      </c>
      <c r="AA86" s="93"/>
    </row>
    <row r="87" spans="1:27">
      <c r="A87" s="97" t="s">
        <v>124</v>
      </c>
      <c r="B87" s="97" t="s">
        <v>125</v>
      </c>
      <c r="C87" s="98">
        <v>415298000</v>
      </c>
      <c r="D87" s="46">
        <v>0</v>
      </c>
      <c r="E87" s="46">
        <v>0</v>
      </c>
      <c r="F87" s="46">
        <f t="shared" si="0"/>
        <v>415298000</v>
      </c>
      <c r="G87" s="47">
        <v>145526000</v>
      </c>
      <c r="H87" s="47">
        <v>0</v>
      </c>
      <c r="I87" s="47">
        <v>0</v>
      </c>
      <c r="J87" s="47">
        <f t="shared" si="85"/>
        <v>145526000</v>
      </c>
      <c r="K87" s="47"/>
      <c r="L87" s="47"/>
      <c r="M87" s="47"/>
      <c r="N87" s="47">
        <f t="shared" si="79"/>
        <v>0</v>
      </c>
      <c r="O87" s="47">
        <f t="shared" si="80"/>
        <v>145526000</v>
      </c>
      <c r="P87" s="47">
        <f t="shared" si="81"/>
        <v>0</v>
      </c>
      <c r="Q87" s="47">
        <f t="shared" si="82"/>
        <v>0</v>
      </c>
      <c r="R87" s="47">
        <f t="shared" si="83"/>
        <v>145526000</v>
      </c>
      <c r="S87" s="79">
        <f t="shared" si="86"/>
        <v>35.041343806134392</v>
      </c>
      <c r="T87" s="79">
        <v>0</v>
      </c>
      <c r="U87" s="79">
        <v>0</v>
      </c>
      <c r="V87" s="79">
        <f t="shared" si="87"/>
        <v>35.041343806134392</v>
      </c>
      <c r="W87" s="47">
        <f t="shared" si="84"/>
        <v>269772000</v>
      </c>
      <c r="X87" s="247">
        <f t="shared" ref="X87:X150" si="92">G87+K87</f>
        <v>145526000</v>
      </c>
      <c r="Y87" s="247">
        <f t="shared" si="90"/>
        <v>0</v>
      </c>
      <c r="Z87" s="247">
        <f t="shared" si="91"/>
        <v>0</v>
      </c>
      <c r="AA87" s="93"/>
    </row>
    <row r="88" spans="1:27" s="8" customFormat="1">
      <c r="A88" s="96" t="s">
        <v>126</v>
      </c>
      <c r="B88" s="96" t="s">
        <v>127</v>
      </c>
      <c r="C88" s="60">
        <f>SUM(C89:C90)</f>
        <v>54061360</v>
      </c>
      <c r="D88" s="60">
        <f t="shared" ref="D88:L88" si="93">SUM(D89:D90)</f>
        <v>0</v>
      </c>
      <c r="E88" s="60">
        <f>SUM(E89:E90)</f>
        <v>0</v>
      </c>
      <c r="F88" s="60">
        <f t="shared" si="0"/>
        <v>54061360</v>
      </c>
      <c r="G88" s="60">
        <f t="shared" ref="G88:H88" si="94">SUM(G89:G90)</f>
        <v>24595000</v>
      </c>
      <c r="H88" s="60">
        <f t="shared" si="94"/>
        <v>0</v>
      </c>
      <c r="I88" s="60">
        <f>SUM(I89:I90)</f>
        <v>0</v>
      </c>
      <c r="J88" s="60">
        <f t="shared" si="85"/>
        <v>24595000</v>
      </c>
      <c r="K88" s="60">
        <f t="shared" si="93"/>
        <v>0</v>
      </c>
      <c r="L88" s="60">
        <f t="shared" si="93"/>
        <v>0</v>
      </c>
      <c r="M88" s="60">
        <f>SUM(M89:M90)</f>
        <v>0</v>
      </c>
      <c r="N88" s="60">
        <f t="shared" si="79"/>
        <v>0</v>
      </c>
      <c r="O88" s="60">
        <f t="shared" si="80"/>
        <v>24595000</v>
      </c>
      <c r="P88" s="60">
        <f t="shared" si="81"/>
        <v>0</v>
      </c>
      <c r="Q88" s="60">
        <f t="shared" si="82"/>
        <v>0</v>
      </c>
      <c r="R88" s="60">
        <f t="shared" si="83"/>
        <v>24595000</v>
      </c>
      <c r="S88" s="84">
        <f t="shared" si="86"/>
        <v>45.494600949735634</v>
      </c>
      <c r="T88" s="84">
        <v>0</v>
      </c>
      <c r="U88" s="84">
        <v>0</v>
      </c>
      <c r="V88" s="84">
        <f t="shared" si="87"/>
        <v>45.494600949735634</v>
      </c>
      <c r="W88" s="60">
        <f t="shared" si="84"/>
        <v>29466360</v>
      </c>
      <c r="X88" s="247">
        <f t="shared" si="92"/>
        <v>24595000</v>
      </c>
      <c r="Y88" s="247">
        <f t="shared" si="90"/>
        <v>0</v>
      </c>
      <c r="Z88" s="247">
        <f t="shared" si="91"/>
        <v>0</v>
      </c>
      <c r="AA88" s="93"/>
    </row>
    <row r="89" spans="1:27">
      <c r="A89" s="97" t="s">
        <v>123</v>
      </c>
      <c r="B89" s="97" t="s">
        <v>111</v>
      </c>
      <c r="C89" s="98">
        <v>39220400</v>
      </c>
      <c r="D89" s="46">
        <v>0</v>
      </c>
      <c r="E89" s="46">
        <v>0</v>
      </c>
      <c r="F89" s="46">
        <f t="shared" ref="F89:F152" si="95">C89+D89+E89</f>
        <v>39220400</v>
      </c>
      <c r="G89" s="48">
        <v>19100000</v>
      </c>
      <c r="H89" s="47">
        <v>0</v>
      </c>
      <c r="I89" s="47">
        <v>0</v>
      </c>
      <c r="J89" s="47">
        <f t="shared" si="85"/>
        <v>19100000</v>
      </c>
      <c r="K89" s="47"/>
      <c r="L89" s="47"/>
      <c r="M89" s="47"/>
      <c r="N89" s="47">
        <f t="shared" si="79"/>
        <v>0</v>
      </c>
      <c r="O89" s="47">
        <f t="shared" si="80"/>
        <v>19100000</v>
      </c>
      <c r="P89" s="47">
        <f t="shared" si="81"/>
        <v>0</v>
      </c>
      <c r="Q89" s="47">
        <f t="shared" si="82"/>
        <v>0</v>
      </c>
      <c r="R89" s="47">
        <f t="shared" si="83"/>
        <v>19100000</v>
      </c>
      <c r="S89" s="79">
        <f t="shared" si="86"/>
        <v>48.699146362607216</v>
      </c>
      <c r="T89" s="79">
        <v>0</v>
      </c>
      <c r="U89" s="79">
        <v>0</v>
      </c>
      <c r="V89" s="79">
        <f t="shared" si="87"/>
        <v>48.699146362607216</v>
      </c>
      <c r="W89" s="47">
        <f t="shared" si="84"/>
        <v>20120400</v>
      </c>
      <c r="X89" s="247">
        <f t="shared" si="92"/>
        <v>19100000</v>
      </c>
      <c r="Y89" s="247">
        <f t="shared" si="90"/>
        <v>0</v>
      </c>
      <c r="Z89" s="247">
        <f t="shared" si="91"/>
        <v>0</v>
      </c>
      <c r="AA89" s="93"/>
    </row>
    <row r="90" spans="1:27">
      <c r="A90" s="97" t="s">
        <v>128</v>
      </c>
      <c r="B90" s="97" t="s">
        <v>113</v>
      </c>
      <c r="C90" s="98">
        <v>14840960</v>
      </c>
      <c r="D90" s="46">
        <v>0</v>
      </c>
      <c r="E90" s="46">
        <v>0</v>
      </c>
      <c r="F90" s="46">
        <f t="shared" si="95"/>
        <v>14840960</v>
      </c>
      <c r="G90" s="47">
        <v>5495000</v>
      </c>
      <c r="H90" s="47">
        <v>0</v>
      </c>
      <c r="I90" s="47">
        <v>0</v>
      </c>
      <c r="J90" s="47">
        <f t="shared" si="85"/>
        <v>5495000</v>
      </c>
      <c r="K90" s="47"/>
      <c r="L90" s="47"/>
      <c r="M90" s="47"/>
      <c r="N90" s="47">
        <f t="shared" si="79"/>
        <v>0</v>
      </c>
      <c r="O90" s="47">
        <f t="shared" si="80"/>
        <v>5495000</v>
      </c>
      <c r="P90" s="47">
        <f t="shared" si="81"/>
        <v>0</v>
      </c>
      <c r="Q90" s="47">
        <f t="shared" si="82"/>
        <v>0</v>
      </c>
      <c r="R90" s="47">
        <f t="shared" si="83"/>
        <v>5495000</v>
      </c>
      <c r="S90" s="79">
        <f t="shared" si="86"/>
        <v>37.025906679891328</v>
      </c>
      <c r="T90" s="79">
        <v>0</v>
      </c>
      <c r="U90" s="79">
        <v>0</v>
      </c>
      <c r="V90" s="79">
        <f t="shared" si="87"/>
        <v>37.025906679891328</v>
      </c>
      <c r="W90" s="47">
        <f t="shared" si="84"/>
        <v>9345960</v>
      </c>
      <c r="X90" s="247">
        <f t="shared" si="92"/>
        <v>5495000</v>
      </c>
      <c r="Y90" s="247">
        <f t="shared" si="90"/>
        <v>0</v>
      </c>
      <c r="Z90" s="247">
        <f t="shared" si="91"/>
        <v>0</v>
      </c>
      <c r="AA90" s="93"/>
    </row>
    <row r="91" spans="1:27" s="8" customFormat="1" ht="16.350000000000001" customHeight="1">
      <c r="A91" s="96" t="s">
        <v>129</v>
      </c>
      <c r="B91" s="96" t="s">
        <v>130</v>
      </c>
      <c r="C91" s="60">
        <f>SUM(C92:C92)</f>
        <v>10560000</v>
      </c>
      <c r="D91" s="60">
        <f t="shared" ref="D91:M91" si="96">SUM(D92:D92)</f>
        <v>0</v>
      </c>
      <c r="E91" s="60">
        <f t="shared" si="96"/>
        <v>0</v>
      </c>
      <c r="F91" s="60">
        <f t="shared" si="95"/>
        <v>10560000</v>
      </c>
      <c r="G91" s="60">
        <f t="shared" ref="G91:I91" si="97">SUM(G92:G92)</f>
        <v>5600000</v>
      </c>
      <c r="H91" s="60">
        <f t="shared" si="97"/>
        <v>0</v>
      </c>
      <c r="I91" s="60">
        <f t="shared" si="97"/>
        <v>0</v>
      </c>
      <c r="J91" s="60">
        <f t="shared" si="85"/>
        <v>5600000</v>
      </c>
      <c r="K91" s="60">
        <f t="shared" si="96"/>
        <v>0</v>
      </c>
      <c r="L91" s="60">
        <f t="shared" si="96"/>
        <v>0</v>
      </c>
      <c r="M91" s="60">
        <f t="shared" si="96"/>
        <v>0</v>
      </c>
      <c r="N91" s="60">
        <f t="shared" si="79"/>
        <v>0</v>
      </c>
      <c r="O91" s="60">
        <f t="shared" si="80"/>
        <v>5600000</v>
      </c>
      <c r="P91" s="60">
        <f t="shared" si="81"/>
        <v>0</v>
      </c>
      <c r="Q91" s="60">
        <f t="shared" si="82"/>
        <v>0</v>
      </c>
      <c r="R91" s="60">
        <f t="shared" si="83"/>
        <v>5600000</v>
      </c>
      <c r="S91" s="84">
        <f t="shared" si="86"/>
        <v>53.030303030303031</v>
      </c>
      <c r="T91" s="84">
        <v>0</v>
      </c>
      <c r="U91" s="84">
        <v>0</v>
      </c>
      <c r="V91" s="84">
        <f t="shared" si="87"/>
        <v>53.030303030303031</v>
      </c>
      <c r="W91" s="60">
        <f t="shared" si="84"/>
        <v>4960000</v>
      </c>
      <c r="X91" s="247">
        <f t="shared" si="92"/>
        <v>5600000</v>
      </c>
      <c r="Y91" s="247">
        <f t="shared" si="90"/>
        <v>0</v>
      </c>
      <c r="Z91" s="247">
        <f t="shared" si="91"/>
        <v>0</v>
      </c>
      <c r="AA91" s="93"/>
    </row>
    <row r="92" spans="1:27">
      <c r="A92" s="97" t="s">
        <v>133</v>
      </c>
      <c r="B92" s="97" t="s">
        <v>134</v>
      </c>
      <c r="C92" s="98">
        <v>10560000</v>
      </c>
      <c r="D92" s="46">
        <v>0</v>
      </c>
      <c r="E92" s="46">
        <v>0</v>
      </c>
      <c r="F92" s="46">
        <f t="shared" si="95"/>
        <v>10560000</v>
      </c>
      <c r="G92" s="47">
        <v>5600000</v>
      </c>
      <c r="H92" s="47">
        <v>0</v>
      </c>
      <c r="I92" s="47">
        <v>0</v>
      </c>
      <c r="J92" s="47">
        <f t="shared" si="85"/>
        <v>5600000</v>
      </c>
      <c r="K92" s="47"/>
      <c r="L92" s="47"/>
      <c r="M92" s="47"/>
      <c r="N92" s="47">
        <f t="shared" si="79"/>
        <v>0</v>
      </c>
      <c r="O92" s="47">
        <f t="shared" si="80"/>
        <v>5600000</v>
      </c>
      <c r="P92" s="47">
        <f t="shared" si="81"/>
        <v>0</v>
      </c>
      <c r="Q92" s="47">
        <f t="shared" si="82"/>
        <v>0</v>
      </c>
      <c r="R92" s="47">
        <f t="shared" si="83"/>
        <v>5600000</v>
      </c>
      <c r="S92" s="79">
        <f t="shared" si="86"/>
        <v>53.030303030303031</v>
      </c>
      <c r="T92" s="79">
        <v>0</v>
      </c>
      <c r="U92" s="79">
        <v>0</v>
      </c>
      <c r="V92" s="79">
        <f t="shared" si="87"/>
        <v>53.030303030303031</v>
      </c>
      <c r="W92" s="47">
        <f t="shared" si="84"/>
        <v>4960000</v>
      </c>
      <c r="X92" s="247">
        <f t="shared" si="92"/>
        <v>5600000</v>
      </c>
      <c r="Y92" s="247">
        <f t="shared" si="90"/>
        <v>0</v>
      </c>
      <c r="Z92" s="247">
        <f t="shared" si="91"/>
        <v>0</v>
      </c>
      <c r="AA92" s="93"/>
    </row>
    <row r="93" spans="1:27" s="8" customFormat="1">
      <c r="A93" s="96" t="s">
        <v>135</v>
      </c>
      <c r="B93" s="96" t="s">
        <v>136</v>
      </c>
      <c r="C93" s="60">
        <f>SUM(C94:C97)</f>
        <v>1161380000</v>
      </c>
      <c r="D93" s="60">
        <f t="shared" ref="D93:E93" si="98">SUM(D94:D96)</f>
        <v>0</v>
      </c>
      <c r="E93" s="60">
        <f t="shared" si="98"/>
        <v>0</v>
      </c>
      <c r="F93" s="60">
        <f t="shared" si="95"/>
        <v>1161380000</v>
      </c>
      <c r="G93" s="60">
        <f>SUM(G94:G97)</f>
        <v>752231870</v>
      </c>
      <c r="H93" s="60">
        <f t="shared" ref="H93:I93" si="99">SUM(H94:H97)</f>
        <v>0</v>
      </c>
      <c r="I93" s="60">
        <f t="shared" si="99"/>
        <v>0</v>
      </c>
      <c r="J93" s="60">
        <f t="shared" si="85"/>
        <v>752231870</v>
      </c>
      <c r="K93" s="60">
        <f t="shared" ref="K93:N93" si="100">SUM(K94:K97)</f>
        <v>0</v>
      </c>
      <c r="L93" s="60">
        <f t="shared" si="100"/>
        <v>0</v>
      </c>
      <c r="M93" s="60">
        <f t="shared" si="100"/>
        <v>0</v>
      </c>
      <c r="N93" s="60">
        <f t="shared" si="100"/>
        <v>0</v>
      </c>
      <c r="O93" s="60">
        <f>SUM(O94:O97)</f>
        <v>752231870</v>
      </c>
      <c r="P93" s="60">
        <f t="shared" si="81"/>
        <v>0</v>
      </c>
      <c r="Q93" s="60">
        <f t="shared" si="82"/>
        <v>0</v>
      </c>
      <c r="R93" s="60">
        <f t="shared" si="83"/>
        <v>752231870</v>
      </c>
      <c r="S93" s="84">
        <f t="shared" si="86"/>
        <v>64.770520415367926</v>
      </c>
      <c r="T93" s="84">
        <v>0</v>
      </c>
      <c r="U93" s="84">
        <v>0</v>
      </c>
      <c r="V93" s="84">
        <f t="shared" si="87"/>
        <v>64.770520415367926</v>
      </c>
      <c r="W93" s="60">
        <f t="shared" si="84"/>
        <v>409148130</v>
      </c>
      <c r="X93" s="247">
        <f t="shared" si="92"/>
        <v>752231870</v>
      </c>
      <c r="Y93" s="247">
        <f t="shared" si="90"/>
        <v>0</v>
      </c>
      <c r="Z93" s="247">
        <f t="shared" si="91"/>
        <v>0</v>
      </c>
      <c r="AA93" s="93"/>
    </row>
    <row r="94" spans="1:27">
      <c r="A94" s="97" t="s">
        <v>123</v>
      </c>
      <c r="B94" s="97" t="s">
        <v>111</v>
      </c>
      <c r="C94" s="98">
        <v>30000</v>
      </c>
      <c r="D94" s="46">
        <v>0</v>
      </c>
      <c r="E94" s="46">
        <v>0</v>
      </c>
      <c r="F94" s="46">
        <f t="shared" si="95"/>
        <v>30000</v>
      </c>
      <c r="G94" s="47">
        <v>0</v>
      </c>
      <c r="H94" s="47">
        <v>0</v>
      </c>
      <c r="I94" s="47">
        <v>0</v>
      </c>
      <c r="J94" s="47">
        <f t="shared" si="85"/>
        <v>0</v>
      </c>
      <c r="K94" s="47"/>
      <c r="L94" s="47"/>
      <c r="M94" s="47"/>
      <c r="N94" s="47">
        <f t="shared" si="79"/>
        <v>0</v>
      </c>
      <c r="O94" s="47">
        <f t="shared" si="80"/>
        <v>0</v>
      </c>
      <c r="P94" s="47">
        <f t="shared" si="81"/>
        <v>0</v>
      </c>
      <c r="Q94" s="47">
        <f t="shared" si="82"/>
        <v>0</v>
      </c>
      <c r="R94" s="47">
        <f t="shared" si="83"/>
        <v>0</v>
      </c>
      <c r="S94" s="79">
        <f t="shared" si="86"/>
        <v>0</v>
      </c>
      <c r="T94" s="79">
        <v>0</v>
      </c>
      <c r="U94" s="79">
        <v>0</v>
      </c>
      <c r="V94" s="79">
        <f t="shared" si="87"/>
        <v>0</v>
      </c>
      <c r="W94" s="47">
        <f t="shared" si="84"/>
        <v>30000</v>
      </c>
      <c r="X94" s="247">
        <f t="shared" si="92"/>
        <v>0</v>
      </c>
      <c r="Y94" s="247">
        <f t="shared" si="90"/>
        <v>0</v>
      </c>
      <c r="Z94" s="247">
        <f t="shared" si="91"/>
        <v>0</v>
      </c>
      <c r="AA94" s="93"/>
    </row>
    <row r="95" spans="1:27">
      <c r="A95" s="97" t="s">
        <v>137</v>
      </c>
      <c r="B95" s="97" t="s">
        <v>138</v>
      </c>
      <c r="C95" s="98">
        <v>43400000</v>
      </c>
      <c r="D95" s="46">
        <v>0</v>
      </c>
      <c r="E95" s="46">
        <v>0</v>
      </c>
      <c r="F95" s="46">
        <f t="shared" si="95"/>
        <v>43400000</v>
      </c>
      <c r="G95" s="48">
        <v>9050000</v>
      </c>
      <c r="H95" s="47">
        <v>0</v>
      </c>
      <c r="I95" s="47">
        <v>0</v>
      </c>
      <c r="J95" s="47">
        <f t="shared" si="85"/>
        <v>9050000</v>
      </c>
      <c r="K95" s="47"/>
      <c r="L95" s="47"/>
      <c r="M95" s="47"/>
      <c r="N95" s="47">
        <f t="shared" si="79"/>
        <v>0</v>
      </c>
      <c r="O95" s="47">
        <f t="shared" si="80"/>
        <v>9050000</v>
      </c>
      <c r="P95" s="47">
        <f t="shared" si="81"/>
        <v>0</v>
      </c>
      <c r="Q95" s="47">
        <f t="shared" si="82"/>
        <v>0</v>
      </c>
      <c r="R95" s="47">
        <f t="shared" si="83"/>
        <v>9050000</v>
      </c>
      <c r="S95" s="79">
        <f t="shared" si="86"/>
        <v>20.852534562211982</v>
      </c>
      <c r="T95" s="79">
        <v>0</v>
      </c>
      <c r="U95" s="79">
        <v>0</v>
      </c>
      <c r="V95" s="79">
        <f t="shared" si="87"/>
        <v>20.852534562211982</v>
      </c>
      <c r="W95" s="47">
        <f t="shared" si="84"/>
        <v>34350000</v>
      </c>
      <c r="X95" s="247">
        <f t="shared" si="92"/>
        <v>9050000</v>
      </c>
      <c r="Y95" s="247">
        <f t="shared" si="90"/>
        <v>0</v>
      </c>
      <c r="Z95" s="247">
        <f t="shared" si="91"/>
        <v>0</v>
      </c>
      <c r="AA95" s="93"/>
    </row>
    <row r="96" spans="1:27">
      <c r="A96" s="97" t="s">
        <v>139</v>
      </c>
      <c r="B96" s="97" t="s">
        <v>140</v>
      </c>
      <c r="C96" s="98">
        <v>6750000</v>
      </c>
      <c r="D96" s="46">
        <v>0</v>
      </c>
      <c r="E96" s="46">
        <v>0</v>
      </c>
      <c r="F96" s="46">
        <f t="shared" si="95"/>
        <v>6750000</v>
      </c>
      <c r="G96" s="47">
        <v>0</v>
      </c>
      <c r="H96" s="47">
        <v>0</v>
      </c>
      <c r="I96" s="47">
        <v>0</v>
      </c>
      <c r="J96" s="47">
        <f t="shared" si="85"/>
        <v>0</v>
      </c>
      <c r="K96" s="80"/>
      <c r="L96" s="47"/>
      <c r="M96" s="47"/>
      <c r="N96" s="47">
        <f t="shared" si="79"/>
        <v>0</v>
      </c>
      <c r="O96" s="47">
        <f t="shared" si="80"/>
        <v>0</v>
      </c>
      <c r="P96" s="47">
        <f t="shared" si="81"/>
        <v>0</v>
      </c>
      <c r="Q96" s="47">
        <f t="shared" si="82"/>
        <v>0</v>
      </c>
      <c r="R96" s="47">
        <f t="shared" si="83"/>
        <v>0</v>
      </c>
      <c r="S96" s="79">
        <f t="shared" si="86"/>
        <v>0</v>
      </c>
      <c r="T96" s="79">
        <v>0</v>
      </c>
      <c r="U96" s="79">
        <v>0</v>
      </c>
      <c r="V96" s="79">
        <f t="shared" si="87"/>
        <v>0</v>
      </c>
      <c r="W96" s="47">
        <f t="shared" si="84"/>
        <v>6750000</v>
      </c>
      <c r="X96" s="247">
        <f t="shared" si="92"/>
        <v>0</v>
      </c>
      <c r="Y96" s="247">
        <f t="shared" si="90"/>
        <v>0</v>
      </c>
      <c r="Z96" s="247">
        <f t="shared" si="91"/>
        <v>0</v>
      </c>
      <c r="AA96" s="93"/>
    </row>
    <row r="97" spans="1:27">
      <c r="A97" s="97" t="s">
        <v>100</v>
      </c>
      <c r="B97" s="97" t="s">
        <v>101</v>
      </c>
      <c r="C97" s="98">
        <v>1111200000</v>
      </c>
      <c r="D97" s="46">
        <v>0</v>
      </c>
      <c r="E97" s="46">
        <v>0</v>
      </c>
      <c r="F97" s="46">
        <f t="shared" si="95"/>
        <v>1111200000</v>
      </c>
      <c r="G97" s="47">
        <v>743181870</v>
      </c>
      <c r="H97" s="47">
        <v>0</v>
      </c>
      <c r="I97" s="47">
        <v>0</v>
      </c>
      <c r="J97" s="47">
        <f t="shared" si="85"/>
        <v>743181870</v>
      </c>
      <c r="K97" s="80"/>
      <c r="L97" s="47"/>
      <c r="M97" s="47"/>
      <c r="N97" s="47">
        <f t="shared" si="79"/>
        <v>0</v>
      </c>
      <c r="O97" s="47">
        <f t="shared" si="80"/>
        <v>743181870</v>
      </c>
      <c r="P97" s="47">
        <f t="shared" si="81"/>
        <v>0</v>
      </c>
      <c r="Q97" s="47">
        <f t="shared" si="82"/>
        <v>0</v>
      </c>
      <c r="R97" s="47">
        <f t="shared" si="83"/>
        <v>743181870</v>
      </c>
      <c r="S97" s="79">
        <f t="shared" si="86"/>
        <v>66.88101781857452</v>
      </c>
      <c r="T97" s="79">
        <v>0</v>
      </c>
      <c r="U97" s="79">
        <v>0</v>
      </c>
      <c r="V97" s="79">
        <f t="shared" si="87"/>
        <v>66.88101781857452</v>
      </c>
      <c r="W97" s="47">
        <f t="shared" si="84"/>
        <v>368018130</v>
      </c>
      <c r="X97" s="247">
        <f t="shared" si="92"/>
        <v>743181870</v>
      </c>
      <c r="Y97" s="247">
        <f t="shared" si="90"/>
        <v>0</v>
      </c>
      <c r="Z97" s="247">
        <f t="shared" si="91"/>
        <v>0</v>
      </c>
      <c r="AA97" s="93"/>
    </row>
    <row r="98" spans="1:27" s="6" customFormat="1" ht="22.5" customHeight="1">
      <c r="A98" s="38" t="s">
        <v>141</v>
      </c>
      <c r="B98" s="61" t="s">
        <v>142</v>
      </c>
      <c r="C98" s="62">
        <f>C99+C101+C103</f>
        <v>1794065188</v>
      </c>
      <c r="D98" s="62">
        <f t="shared" ref="D98:E98" si="101">D99+D103</f>
        <v>0</v>
      </c>
      <c r="E98" s="62">
        <f t="shared" si="101"/>
        <v>0</v>
      </c>
      <c r="F98" s="62">
        <f t="shared" si="95"/>
        <v>1794065188</v>
      </c>
      <c r="G98" s="62">
        <f t="shared" ref="G98:I98" si="102">G99+G101+G103</f>
        <v>925487050</v>
      </c>
      <c r="H98" s="62">
        <f t="shared" si="102"/>
        <v>0</v>
      </c>
      <c r="I98" s="62">
        <f t="shared" si="102"/>
        <v>0</v>
      </c>
      <c r="J98" s="62">
        <f t="shared" si="85"/>
        <v>925487050</v>
      </c>
      <c r="K98" s="62">
        <f>K99+K101+K103</f>
        <v>0</v>
      </c>
      <c r="L98" s="62">
        <f t="shared" ref="L98:M98" si="103">L99+L101+L103</f>
        <v>0</v>
      </c>
      <c r="M98" s="62">
        <f t="shared" si="103"/>
        <v>0</v>
      </c>
      <c r="N98" s="62">
        <f t="shared" si="79"/>
        <v>0</v>
      </c>
      <c r="O98" s="62">
        <f t="shared" si="80"/>
        <v>925487050</v>
      </c>
      <c r="P98" s="62">
        <f t="shared" si="81"/>
        <v>0</v>
      </c>
      <c r="Q98" s="62">
        <f t="shared" si="82"/>
        <v>0</v>
      </c>
      <c r="R98" s="62">
        <f t="shared" si="83"/>
        <v>925487050</v>
      </c>
      <c r="S98" s="85">
        <f t="shared" si="86"/>
        <v>51.586032446887877</v>
      </c>
      <c r="T98" s="85">
        <v>0</v>
      </c>
      <c r="U98" s="85">
        <v>0</v>
      </c>
      <c r="V98" s="85">
        <f t="shared" si="87"/>
        <v>51.586032446887877</v>
      </c>
      <c r="W98" s="62">
        <f t="shared" si="84"/>
        <v>868578138</v>
      </c>
      <c r="X98" s="247">
        <f t="shared" si="92"/>
        <v>925487050</v>
      </c>
      <c r="Y98" s="247">
        <f t="shared" si="90"/>
        <v>0</v>
      </c>
      <c r="Z98" s="247">
        <f t="shared" si="91"/>
        <v>0</v>
      </c>
      <c r="AA98" s="93"/>
    </row>
    <row r="99" spans="1:27" s="8" customFormat="1">
      <c r="A99" s="96" t="s">
        <v>143</v>
      </c>
      <c r="B99" s="96" t="s">
        <v>144</v>
      </c>
      <c r="C99" s="60">
        <f>C100</f>
        <v>660000000</v>
      </c>
      <c r="D99" s="60">
        <f>D100</f>
        <v>0</v>
      </c>
      <c r="E99" s="60">
        <f>E100</f>
        <v>0</v>
      </c>
      <c r="F99" s="60">
        <f t="shared" si="95"/>
        <v>660000000</v>
      </c>
      <c r="G99" s="60">
        <f t="shared" ref="G99:I99" si="104">G100</f>
        <v>605500000</v>
      </c>
      <c r="H99" s="60">
        <f t="shared" si="104"/>
        <v>0</v>
      </c>
      <c r="I99" s="60">
        <f t="shared" si="104"/>
        <v>0</v>
      </c>
      <c r="J99" s="60">
        <f t="shared" si="85"/>
        <v>605500000</v>
      </c>
      <c r="K99" s="60">
        <f t="shared" ref="K99:M99" si="105">K100</f>
        <v>0</v>
      </c>
      <c r="L99" s="60">
        <f t="shared" si="105"/>
        <v>0</v>
      </c>
      <c r="M99" s="60">
        <f t="shared" si="105"/>
        <v>0</v>
      </c>
      <c r="N99" s="60">
        <f t="shared" si="79"/>
        <v>0</v>
      </c>
      <c r="O99" s="60">
        <f t="shared" si="80"/>
        <v>605500000</v>
      </c>
      <c r="P99" s="60">
        <f t="shared" si="81"/>
        <v>0</v>
      </c>
      <c r="Q99" s="60">
        <f t="shared" si="82"/>
        <v>0</v>
      </c>
      <c r="R99" s="60">
        <f t="shared" si="83"/>
        <v>605500000</v>
      </c>
      <c r="S99" s="84">
        <f t="shared" si="86"/>
        <v>91.742424242424249</v>
      </c>
      <c r="T99" s="84">
        <v>0</v>
      </c>
      <c r="U99" s="84">
        <v>0</v>
      </c>
      <c r="V99" s="84">
        <f t="shared" si="87"/>
        <v>91.742424242424249</v>
      </c>
      <c r="W99" s="60">
        <f t="shared" si="84"/>
        <v>54500000</v>
      </c>
      <c r="X99" s="247">
        <f t="shared" si="92"/>
        <v>605500000</v>
      </c>
      <c r="Y99" s="247">
        <f t="shared" si="90"/>
        <v>0</v>
      </c>
      <c r="Z99" s="247">
        <f t="shared" si="91"/>
        <v>0</v>
      </c>
      <c r="AA99" s="93"/>
    </row>
    <row r="100" spans="1:27">
      <c r="A100" s="97" t="s">
        <v>145</v>
      </c>
      <c r="B100" s="97" t="s">
        <v>146</v>
      </c>
      <c r="C100" s="98">
        <v>660000000</v>
      </c>
      <c r="D100" s="46">
        <v>0</v>
      </c>
      <c r="E100" s="46">
        <v>0</v>
      </c>
      <c r="F100" s="46">
        <f t="shared" si="95"/>
        <v>660000000</v>
      </c>
      <c r="G100" s="47">
        <v>605500000</v>
      </c>
      <c r="H100" s="47">
        <v>0</v>
      </c>
      <c r="I100" s="47">
        <v>0</v>
      </c>
      <c r="J100" s="47">
        <f t="shared" si="85"/>
        <v>605500000</v>
      </c>
      <c r="K100" s="47"/>
      <c r="L100" s="47"/>
      <c r="M100" s="47"/>
      <c r="N100" s="47">
        <f t="shared" si="79"/>
        <v>0</v>
      </c>
      <c r="O100" s="47">
        <f t="shared" si="80"/>
        <v>605500000</v>
      </c>
      <c r="P100" s="47">
        <f t="shared" si="81"/>
        <v>0</v>
      </c>
      <c r="Q100" s="47">
        <f t="shared" si="82"/>
        <v>0</v>
      </c>
      <c r="R100" s="47">
        <f t="shared" si="83"/>
        <v>605500000</v>
      </c>
      <c r="S100" s="79">
        <f t="shared" si="86"/>
        <v>91.742424242424249</v>
      </c>
      <c r="T100" s="79">
        <v>0</v>
      </c>
      <c r="U100" s="79">
        <v>0</v>
      </c>
      <c r="V100" s="79">
        <f t="shared" si="87"/>
        <v>91.742424242424249</v>
      </c>
      <c r="W100" s="47">
        <f t="shared" si="84"/>
        <v>54500000</v>
      </c>
      <c r="X100" s="247">
        <f t="shared" si="92"/>
        <v>605500000</v>
      </c>
      <c r="Y100" s="247">
        <f t="shared" si="90"/>
        <v>0</v>
      </c>
      <c r="Z100" s="247">
        <f t="shared" si="91"/>
        <v>0</v>
      </c>
      <c r="AA100" s="93"/>
    </row>
    <row r="101" spans="1:27" s="5" customFormat="1">
      <c r="A101" s="96" t="s">
        <v>340</v>
      </c>
      <c r="B101" s="96" t="s">
        <v>341</v>
      </c>
      <c r="C101" s="60">
        <f>SUM(C102)</f>
        <v>257843000</v>
      </c>
      <c r="D101" s="60">
        <f t="shared" ref="D101:M101" si="106">SUM(D102)</f>
        <v>0</v>
      </c>
      <c r="E101" s="60">
        <f t="shared" si="106"/>
        <v>0</v>
      </c>
      <c r="F101" s="60">
        <f t="shared" si="95"/>
        <v>257843000</v>
      </c>
      <c r="G101" s="60">
        <f t="shared" ref="G101:I101" si="107">SUM(G102)</f>
        <v>34027050</v>
      </c>
      <c r="H101" s="60">
        <f t="shared" si="107"/>
        <v>0</v>
      </c>
      <c r="I101" s="60">
        <f t="shared" si="107"/>
        <v>0</v>
      </c>
      <c r="J101" s="60">
        <f t="shared" si="85"/>
        <v>34027050</v>
      </c>
      <c r="K101" s="60">
        <f t="shared" si="106"/>
        <v>0</v>
      </c>
      <c r="L101" s="60">
        <f t="shared" si="106"/>
        <v>0</v>
      </c>
      <c r="M101" s="60">
        <f t="shared" si="106"/>
        <v>0</v>
      </c>
      <c r="N101" s="60">
        <f t="shared" si="79"/>
        <v>0</v>
      </c>
      <c r="O101" s="60">
        <f t="shared" si="80"/>
        <v>34027050</v>
      </c>
      <c r="P101" s="60">
        <f t="shared" si="81"/>
        <v>0</v>
      </c>
      <c r="Q101" s="60">
        <f t="shared" si="82"/>
        <v>0</v>
      </c>
      <c r="R101" s="60">
        <f t="shared" si="83"/>
        <v>34027050</v>
      </c>
      <c r="S101" s="84">
        <f t="shared" si="86"/>
        <v>13.196809686514662</v>
      </c>
      <c r="T101" s="84">
        <v>0</v>
      </c>
      <c r="U101" s="84">
        <v>0</v>
      </c>
      <c r="V101" s="84">
        <f t="shared" si="87"/>
        <v>13.196809686514662</v>
      </c>
      <c r="W101" s="60">
        <f t="shared" si="84"/>
        <v>223815950</v>
      </c>
      <c r="X101" s="247">
        <f t="shared" si="92"/>
        <v>34027050</v>
      </c>
      <c r="Y101" s="247">
        <f t="shared" si="90"/>
        <v>0</v>
      </c>
      <c r="Z101" s="247">
        <f t="shared" si="91"/>
        <v>0</v>
      </c>
      <c r="AA101" s="93"/>
    </row>
    <row r="102" spans="1:27">
      <c r="A102" s="97" t="s">
        <v>211</v>
      </c>
      <c r="B102" s="97" t="s">
        <v>212</v>
      </c>
      <c r="C102" s="98">
        <v>257843000</v>
      </c>
      <c r="D102" s="46">
        <v>0</v>
      </c>
      <c r="E102" s="46">
        <v>0</v>
      </c>
      <c r="F102" s="46">
        <f t="shared" si="95"/>
        <v>257843000</v>
      </c>
      <c r="G102" s="47">
        <v>34027050</v>
      </c>
      <c r="H102" s="47">
        <v>0</v>
      </c>
      <c r="I102" s="47">
        <v>0</v>
      </c>
      <c r="J102" s="47">
        <f t="shared" si="85"/>
        <v>34027050</v>
      </c>
      <c r="K102" s="47"/>
      <c r="L102" s="47"/>
      <c r="M102" s="47"/>
      <c r="N102" s="47">
        <f t="shared" si="79"/>
        <v>0</v>
      </c>
      <c r="O102" s="47">
        <f t="shared" si="80"/>
        <v>34027050</v>
      </c>
      <c r="P102" s="47">
        <f t="shared" si="81"/>
        <v>0</v>
      </c>
      <c r="Q102" s="47">
        <f t="shared" si="82"/>
        <v>0</v>
      </c>
      <c r="R102" s="47">
        <f t="shared" si="83"/>
        <v>34027050</v>
      </c>
      <c r="S102" s="79">
        <f t="shared" si="86"/>
        <v>13.196809686514662</v>
      </c>
      <c r="T102" s="79">
        <v>0</v>
      </c>
      <c r="U102" s="79">
        <v>0</v>
      </c>
      <c r="V102" s="79">
        <f t="shared" si="87"/>
        <v>13.196809686514662</v>
      </c>
      <c r="W102" s="47">
        <f t="shared" si="84"/>
        <v>223815950</v>
      </c>
      <c r="X102" s="247">
        <f t="shared" si="92"/>
        <v>34027050</v>
      </c>
      <c r="Y102" s="247">
        <f t="shared" si="90"/>
        <v>0</v>
      </c>
      <c r="Z102" s="247">
        <f t="shared" si="91"/>
        <v>0</v>
      </c>
      <c r="AA102" s="93"/>
    </row>
    <row r="103" spans="1:27" s="5" customFormat="1">
      <c r="A103" s="96" t="s">
        <v>147</v>
      </c>
      <c r="B103" s="96" t="s">
        <v>148</v>
      </c>
      <c r="C103" s="60">
        <f>SUM(C104:C113)</f>
        <v>876222188</v>
      </c>
      <c r="D103" s="60">
        <f t="shared" ref="D103:M103" si="108">SUM(D104:D113)</f>
        <v>0</v>
      </c>
      <c r="E103" s="60">
        <f>SUM(E104:E113)</f>
        <v>0</v>
      </c>
      <c r="F103" s="60">
        <f t="shared" si="95"/>
        <v>876222188</v>
      </c>
      <c r="G103" s="60">
        <f t="shared" ref="G103:I103" si="109">SUM(G104:G113)</f>
        <v>285960000</v>
      </c>
      <c r="H103" s="60">
        <f t="shared" si="109"/>
        <v>0</v>
      </c>
      <c r="I103" s="60">
        <f t="shared" si="109"/>
        <v>0</v>
      </c>
      <c r="J103" s="60">
        <f t="shared" si="85"/>
        <v>285960000</v>
      </c>
      <c r="K103" s="60">
        <f t="shared" si="108"/>
        <v>0</v>
      </c>
      <c r="L103" s="60">
        <f t="shared" si="108"/>
        <v>0</v>
      </c>
      <c r="M103" s="60">
        <f t="shared" si="108"/>
        <v>0</v>
      </c>
      <c r="N103" s="60">
        <f t="shared" si="79"/>
        <v>0</v>
      </c>
      <c r="O103" s="60">
        <f t="shared" si="80"/>
        <v>285960000</v>
      </c>
      <c r="P103" s="60">
        <f t="shared" si="81"/>
        <v>0</v>
      </c>
      <c r="Q103" s="60">
        <f t="shared" si="82"/>
        <v>0</v>
      </c>
      <c r="R103" s="60">
        <f t="shared" si="83"/>
        <v>285960000</v>
      </c>
      <c r="S103" s="84">
        <f t="shared" si="86"/>
        <v>32.635557957361385</v>
      </c>
      <c r="T103" s="84">
        <v>0</v>
      </c>
      <c r="U103" s="84">
        <v>0</v>
      </c>
      <c r="V103" s="84">
        <f t="shared" si="87"/>
        <v>32.635557957361385</v>
      </c>
      <c r="W103" s="60">
        <f t="shared" si="84"/>
        <v>590262188</v>
      </c>
      <c r="X103" s="247">
        <f t="shared" si="92"/>
        <v>285960000</v>
      </c>
      <c r="Y103" s="247">
        <f t="shared" si="90"/>
        <v>0</v>
      </c>
      <c r="Z103" s="247">
        <f t="shared" si="91"/>
        <v>0</v>
      </c>
      <c r="AA103" s="93"/>
    </row>
    <row r="104" spans="1:27">
      <c r="A104" s="97" t="s">
        <v>123</v>
      </c>
      <c r="B104" s="97" t="s">
        <v>111</v>
      </c>
      <c r="C104" s="46">
        <v>127748</v>
      </c>
      <c r="D104" s="46">
        <v>0</v>
      </c>
      <c r="E104" s="46">
        <v>0</v>
      </c>
      <c r="F104" s="46">
        <f t="shared" si="95"/>
        <v>127748</v>
      </c>
      <c r="G104" s="48">
        <v>0</v>
      </c>
      <c r="H104" s="47">
        <v>0</v>
      </c>
      <c r="I104" s="47">
        <v>0</v>
      </c>
      <c r="J104" s="47">
        <f t="shared" si="85"/>
        <v>0</v>
      </c>
      <c r="K104" s="47"/>
      <c r="L104" s="47"/>
      <c r="M104" s="47"/>
      <c r="N104" s="47">
        <f t="shared" si="79"/>
        <v>0</v>
      </c>
      <c r="O104" s="47">
        <f t="shared" si="80"/>
        <v>0</v>
      </c>
      <c r="P104" s="47">
        <f t="shared" si="81"/>
        <v>0</v>
      </c>
      <c r="Q104" s="47">
        <f t="shared" si="82"/>
        <v>0</v>
      </c>
      <c r="R104" s="47">
        <f t="shared" si="83"/>
        <v>0</v>
      </c>
      <c r="S104" s="79">
        <f t="shared" si="86"/>
        <v>0</v>
      </c>
      <c r="T104" s="79">
        <v>0</v>
      </c>
      <c r="U104" s="79">
        <v>0</v>
      </c>
      <c r="V104" s="79">
        <f t="shared" si="87"/>
        <v>0</v>
      </c>
      <c r="W104" s="47">
        <f t="shared" si="84"/>
        <v>127748</v>
      </c>
      <c r="X104" s="247">
        <f t="shared" si="92"/>
        <v>0</v>
      </c>
      <c r="Y104" s="247">
        <f t="shared" si="90"/>
        <v>0</v>
      </c>
      <c r="Z104" s="247">
        <f t="shared" si="91"/>
        <v>0</v>
      </c>
      <c r="AA104" s="93"/>
    </row>
    <row r="105" spans="1:27">
      <c r="A105" s="97" t="s">
        <v>295</v>
      </c>
      <c r="B105" s="97" t="s">
        <v>116</v>
      </c>
      <c r="C105" s="46">
        <v>186593750</v>
      </c>
      <c r="D105" s="46">
        <v>0</v>
      </c>
      <c r="E105" s="46">
        <v>0</v>
      </c>
      <c r="F105" s="46">
        <f t="shared" si="95"/>
        <v>186593750</v>
      </c>
      <c r="G105" s="48">
        <v>0</v>
      </c>
      <c r="H105" s="47">
        <v>0</v>
      </c>
      <c r="I105" s="47">
        <v>0</v>
      </c>
      <c r="J105" s="47">
        <f t="shared" si="85"/>
        <v>0</v>
      </c>
      <c r="K105" s="47"/>
      <c r="L105" s="47"/>
      <c r="M105" s="47"/>
      <c r="N105" s="47">
        <f t="shared" si="79"/>
        <v>0</v>
      </c>
      <c r="O105" s="47">
        <f t="shared" si="80"/>
        <v>0</v>
      </c>
      <c r="P105" s="47">
        <f t="shared" si="81"/>
        <v>0</v>
      </c>
      <c r="Q105" s="47">
        <f t="shared" si="82"/>
        <v>0</v>
      </c>
      <c r="R105" s="47">
        <f t="shared" si="83"/>
        <v>0</v>
      </c>
      <c r="S105" s="79">
        <f t="shared" si="86"/>
        <v>0</v>
      </c>
      <c r="T105" s="79">
        <v>0</v>
      </c>
      <c r="U105" s="79">
        <v>0</v>
      </c>
      <c r="V105" s="79">
        <f t="shared" si="87"/>
        <v>0</v>
      </c>
      <c r="W105" s="47">
        <f t="shared" si="84"/>
        <v>186593750</v>
      </c>
      <c r="X105" s="247">
        <f t="shared" si="92"/>
        <v>0</v>
      </c>
      <c r="Y105" s="247">
        <f t="shared" si="90"/>
        <v>0</v>
      </c>
      <c r="Z105" s="247">
        <f t="shared" si="91"/>
        <v>0</v>
      </c>
      <c r="AA105" s="93"/>
    </row>
    <row r="106" spans="1:27">
      <c r="A106" s="97" t="s">
        <v>231</v>
      </c>
      <c r="B106" s="97" t="s">
        <v>119</v>
      </c>
      <c r="C106" s="46">
        <v>2118000</v>
      </c>
      <c r="D106" s="46">
        <v>0</v>
      </c>
      <c r="E106" s="46">
        <v>0</v>
      </c>
      <c r="F106" s="46">
        <f t="shared" si="95"/>
        <v>2118000</v>
      </c>
      <c r="G106" s="48">
        <v>0</v>
      </c>
      <c r="H106" s="47">
        <v>0</v>
      </c>
      <c r="I106" s="47">
        <v>0</v>
      </c>
      <c r="J106" s="47">
        <f t="shared" si="85"/>
        <v>0</v>
      </c>
      <c r="K106" s="47"/>
      <c r="L106" s="47"/>
      <c r="M106" s="47"/>
      <c r="N106" s="47">
        <f t="shared" si="79"/>
        <v>0</v>
      </c>
      <c r="O106" s="47">
        <f t="shared" si="80"/>
        <v>0</v>
      </c>
      <c r="P106" s="47">
        <f t="shared" si="81"/>
        <v>0</v>
      </c>
      <c r="Q106" s="47">
        <f t="shared" si="82"/>
        <v>0</v>
      </c>
      <c r="R106" s="47">
        <f t="shared" si="83"/>
        <v>0</v>
      </c>
      <c r="S106" s="79">
        <f t="shared" si="86"/>
        <v>0</v>
      </c>
      <c r="T106" s="79">
        <v>0</v>
      </c>
      <c r="U106" s="79">
        <v>0</v>
      </c>
      <c r="V106" s="79">
        <f t="shared" si="87"/>
        <v>0</v>
      </c>
      <c r="W106" s="47">
        <f t="shared" si="84"/>
        <v>2118000</v>
      </c>
      <c r="X106" s="247">
        <f t="shared" si="92"/>
        <v>0</v>
      </c>
      <c r="Y106" s="247">
        <f t="shared" si="90"/>
        <v>0</v>
      </c>
      <c r="Z106" s="247">
        <f t="shared" si="91"/>
        <v>0</v>
      </c>
      <c r="AA106" s="93"/>
    </row>
    <row r="107" spans="1:27">
      <c r="A107" s="97" t="s">
        <v>149</v>
      </c>
      <c r="B107" s="97" t="s">
        <v>150</v>
      </c>
      <c r="C107" s="46">
        <v>208372000</v>
      </c>
      <c r="D107" s="46">
        <v>0</v>
      </c>
      <c r="E107" s="46">
        <v>0</v>
      </c>
      <c r="F107" s="46">
        <f t="shared" si="95"/>
        <v>208372000</v>
      </c>
      <c r="G107" s="48">
        <v>173420000</v>
      </c>
      <c r="H107" s="47">
        <v>0</v>
      </c>
      <c r="I107" s="47">
        <v>0</v>
      </c>
      <c r="J107" s="47">
        <f t="shared" si="85"/>
        <v>173420000</v>
      </c>
      <c r="K107" s="47"/>
      <c r="L107" s="47"/>
      <c r="M107" s="47"/>
      <c r="N107" s="47">
        <f t="shared" si="79"/>
        <v>0</v>
      </c>
      <c r="O107" s="47">
        <f t="shared" si="80"/>
        <v>173420000</v>
      </c>
      <c r="P107" s="47">
        <f t="shared" si="81"/>
        <v>0</v>
      </c>
      <c r="Q107" s="47">
        <f t="shared" si="82"/>
        <v>0</v>
      </c>
      <c r="R107" s="47">
        <f t="shared" si="83"/>
        <v>173420000</v>
      </c>
      <c r="S107" s="79">
        <f t="shared" si="86"/>
        <v>83.226153225961269</v>
      </c>
      <c r="T107" s="79">
        <v>0</v>
      </c>
      <c r="U107" s="79">
        <v>0</v>
      </c>
      <c r="V107" s="79">
        <f t="shared" si="87"/>
        <v>83.226153225961269</v>
      </c>
      <c r="W107" s="47">
        <f t="shared" si="84"/>
        <v>34952000</v>
      </c>
      <c r="X107" s="247">
        <f t="shared" si="92"/>
        <v>173420000</v>
      </c>
      <c r="Y107" s="247">
        <f t="shared" si="90"/>
        <v>0</v>
      </c>
      <c r="Z107" s="247">
        <f t="shared" si="91"/>
        <v>0</v>
      </c>
      <c r="AA107" s="93"/>
    </row>
    <row r="108" spans="1:27">
      <c r="A108" s="97" t="s">
        <v>151</v>
      </c>
      <c r="B108" s="97" t="s">
        <v>152</v>
      </c>
      <c r="C108" s="46">
        <v>88552200</v>
      </c>
      <c r="D108" s="46">
        <v>0</v>
      </c>
      <c r="E108" s="46">
        <v>0</v>
      </c>
      <c r="F108" s="46">
        <f t="shared" si="95"/>
        <v>88552200</v>
      </c>
      <c r="G108" s="48">
        <v>87400000</v>
      </c>
      <c r="H108" s="47">
        <v>0</v>
      </c>
      <c r="I108" s="47">
        <v>0</v>
      </c>
      <c r="J108" s="47">
        <f t="shared" si="85"/>
        <v>87400000</v>
      </c>
      <c r="K108" s="47"/>
      <c r="L108" s="47"/>
      <c r="M108" s="47"/>
      <c r="N108" s="47">
        <f t="shared" si="79"/>
        <v>0</v>
      </c>
      <c r="O108" s="47">
        <f t="shared" si="80"/>
        <v>87400000</v>
      </c>
      <c r="P108" s="47">
        <f t="shared" si="81"/>
        <v>0</v>
      </c>
      <c r="Q108" s="47">
        <f t="shared" si="82"/>
        <v>0</v>
      </c>
      <c r="R108" s="47">
        <f t="shared" si="83"/>
        <v>87400000</v>
      </c>
      <c r="S108" s="79">
        <f t="shared" si="86"/>
        <v>98.698846556042653</v>
      </c>
      <c r="T108" s="79">
        <v>0</v>
      </c>
      <c r="U108" s="79">
        <v>0</v>
      </c>
      <c r="V108" s="79">
        <f t="shared" si="87"/>
        <v>98.698846556042653</v>
      </c>
      <c r="W108" s="47">
        <f t="shared" si="84"/>
        <v>1152200</v>
      </c>
      <c r="X108" s="247">
        <f t="shared" si="92"/>
        <v>87400000</v>
      </c>
      <c r="Y108" s="247">
        <f t="shared" si="90"/>
        <v>0</v>
      </c>
      <c r="Z108" s="247">
        <f t="shared" si="91"/>
        <v>0</v>
      </c>
      <c r="AA108" s="93"/>
    </row>
    <row r="109" spans="1:27">
      <c r="A109" s="97" t="s">
        <v>153</v>
      </c>
      <c r="B109" s="97" t="s">
        <v>154</v>
      </c>
      <c r="C109" s="46">
        <v>272280504</v>
      </c>
      <c r="D109" s="46">
        <v>0</v>
      </c>
      <c r="E109" s="46">
        <v>0</v>
      </c>
      <c r="F109" s="46">
        <f t="shared" si="95"/>
        <v>272280504</v>
      </c>
      <c r="G109" s="47">
        <v>0</v>
      </c>
      <c r="H109" s="47">
        <v>0</v>
      </c>
      <c r="I109" s="47">
        <v>0</v>
      </c>
      <c r="J109" s="47">
        <f t="shared" si="85"/>
        <v>0</v>
      </c>
      <c r="K109" s="47"/>
      <c r="L109" s="47"/>
      <c r="M109" s="47"/>
      <c r="N109" s="47">
        <f t="shared" si="79"/>
        <v>0</v>
      </c>
      <c r="O109" s="47">
        <f t="shared" si="80"/>
        <v>0</v>
      </c>
      <c r="P109" s="47">
        <f t="shared" si="81"/>
        <v>0</v>
      </c>
      <c r="Q109" s="47">
        <f t="shared" si="82"/>
        <v>0</v>
      </c>
      <c r="R109" s="47">
        <f t="shared" si="83"/>
        <v>0</v>
      </c>
      <c r="S109" s="79">
        <f t="shared" si="86"/>
        <v>0</v>
      </c>
      <c r="T109" s="79">
        <v>0</v>
      </c>
      <c r="U109" s="79">
        <v>0</v>
      </c>
      <c r="V109" s="79">
        <f t="shared" si="87"/>
        <v>0</v>
      </c>
      <c r="W109" s="47">
        <f t="shared" si="84"/>
        <v>272280504</v>
      </c>
      <c r="X109" s="247">
        <f t="shared" si="92"/>
        <v>0</v>
      </c>
      <c r="Y109" s="247">
        <f t="shared" si="90"/>
        <v>0</v>
      </c>
      <c r="Z109" s="247">
        <f t="shared" si="91"/>
        <v>0</v>
      </c>
      <c r="AA109" s="93"/>
    </row>
    <row r="110" spans="1:27">
      <c r="A110" s="97" t="s">
        <v>342</v>
      </c>
      <c r="B110" s="97" t="s">
        <v>317</v>
      </c>
      <c r="C110" s="46">
        <v>25398900</v>
      </c>
      <c r="D110" s="46">
        <v>0</v>
      </c>
      <c r="E110" s="46">
        <v>0</v>
      </c>
      <c r="F110" s="46">
        <f t="shared" si="95"/>
        <v>25398900</v>
      </c>
      <c r="G110" s="47">
        <v>22140000</v>
      </c>
      <c r="H110" s="47">
        <v>0</v>
      </c>
      <c r="I110" s="47">
        <v>0</v>
      </c>
      <c r="J110" s="47">
        <f t="shared" si="85"/>
        <v>22140000</v>
      </c>
      <c r="K110" s="47"/>
      <c r="L110" s="47"/>
      <c r="M110" s="47"/>
      <c r="N110" s="47">
        <f t="shared" si="79"/>
        <v>0</v>
      </c>
      <c r="O110" s="47">
        <f t="shared" si="80"/>
        <v>22140000</v>
      </c>
      <c r="P110" s="47">
        <f t="shared" si="81"/>
        <v>0</v>
      </c>
      <c r="Q110" s="47">
        <f t="shared" si="82"/>
        <v>0</v>
      </c>
      <c r="R110" s="47">
        <f t="shared" si="83"/>
        <v>22140000</v>
      </c>
      <c r="S110" s="79">
        <f t="shared" si="86"/>
        <v>87.169129371744447</v>
      </c>
      <c r="T110" s="79">
        <v>0</v>
      </c>
      <c r="U110" s="79">
        <v>0</v>
      </c>
      <c r="V110" s="79">
        <f t="shared" si="87"/>
        <v>87.169129371744447</v>
      </c>
      <c r="W110" s="47">
        <f t="shared" si="84"/>
        <v>3258900</v>
      </c>
      <c r="X110" s="247">
        <f t="shared" si="92"/>
        <v>22140000</v>
      </c>
      <c r="Y110" s="247">
        <f t="shared" si="90"/>
        <v>0</v>
      </c>
      <c r="Z110" s="247">
        <f t="shared" si="91"/>
        <v>0</v>
      </c>
      <c r="AA110" s="93"/>
    </row>
    <row r="111" spans="1:27">
      <c r="A111" s="97" t="s">
        <v>155</v>
      </c>
      <c r="B111" s="97" t="s">
        <v>156</v>
      </c>
      <c r="C111" s="46">
        <v>5449986</v>
      </c>
      <c r="D111" s="46">
        <v>0</v>
      </c>
      <c r="E111" s="46">
        <v>0</v>
      </c>
      <c r="F111" s="46">
        <f t="shared" si="95"/>
        <v>5449986</v>
      </c>
      <c r="G111" s="47">
        <v>3000000</v>
      </c>
      <c r="H111" s="47">
        <v>0</v>
      </c>
      <c r="I111" s="47">
        <v>0</v>
      </c>
      <c r="J111" s="47">
        <f t="shared" si="85"/>
        <v>3000000</v>
      </c>
      <c r="K111" s="47"/>
      <c r="L111" s="47"/>
      <c r="M111" s="47"/>
      <c r="N111" s="47">
        <f t="shared" si="79"/>
        <v>0</v>
      </c>
      <c r="O111" s="47">
        <f t="shared" si="80"/>
        <v>3000000</v>
      </c>
      <c r="P111" s="47">
        <f t="shared" si="81"/>
        <v>0</v>
      </c>
      <c r="Q111" s="47">
        <f t="shared" si="82"/>
        <v>0</v>
      </c>
      <c r="R111" s="47">
        <f t="shared" si="83"/>
        <v>3000000</v>
      </c>
      <c r="S111" s="79">
        <f t="shared" si="86"/>
        <v>55.046012962235139</v>
      </c>
      <c r="T111" s="79">
        <v>0</v>
      </c>
      <c r="U111" s="79">
        <v>0</v>
      </c>
      <c r="V111" s="79">
        <f t="shared" si="87"/>
        <v>55.046012962235139</v>
      </c>
      <c r="W111" s="47">
        <f t="shared" si="84"/>
        <v>2449986</v>
      </c>
      <c r="X111" s="247">
        <f t="shared" si="92"/>
        <v>3000000</v>
      </c>
      <c r="Y111" s="247">
        <f t="shared" si="90"/>
        <v>0</v>
      </c>
      <c r="Z111" s="247">
        <f t="shared" si="91"/>
        <v>0</v>
      </c>
      <c r="AA111" s="93"/>
    </row>
    <row r="112" spans="1:27">
      <c r="A112" s="97" t="s">
        <v>163</v>
      </c>
      <c r="B112" s="97" t="s">
        <v>164</v>
      </c>
      <c r="C112" s="46">
        <v>84168500</v>
      </c>
      <c r="D112" s="46">
        <v>0</v>
      </c>
      <c r="E112" s="46">
        <v>0</v>
      </c>
      <c r="F112" s="46">
        <f t="shared" si="95"/>
        <v>84168500</v>
      </c>
      <c r="G112" s="48">
        <v>0</v>
      </c>
      <c r="H112" s="47">
        <v>0</v>
      </c>
      <c r="I112" s="47">
        <v>0</v>
      </c>
      <c r="J112" s="47">
        <f t="shared" si="85"/>
        <v>0</v>
      </c>
      <c r="K112" s="47"/>
      <c r="L112" s="47"/>
      <c r="M112" s="47"/>
      <c r="N112" s="47">
        <f t="shared" si="79"/>
        <v>0</v>
      </c>
      <c r="O112" s="47">
        <f t="shared" si="80"/>
        <v>0</v>
      </c>
      <c r="P112" s="47">
        <f t="shared" si="81"/>
        <v>0</v>
      </c>
      <c r="Q112" s="47">
        <f t="shared" si="82"/>
        <v>0</v>
      </c>
      <c r="R112" s="47">
        <f t="shared" si="83"/>
        <v>0</v>
      </c>
      <c r="S112" s="79">
        <f t="shared" si="86"/>
        <v>0</v>
      </c>
      <c r="T112" s="79">
        <v>0</v>
      </c>
      <c r="U112" s="79">
        <v>0</v>
      </c>
      <c r="V112" s="79">
        <f t="shared" si="87"/>
        <v>0</v>
      </c>
      <c r="W112" s="47">
        <f t="shared" si="84"/>
        <v>84168500</v>
      </c>
      <c r="X112" s="247">
        <f t="shared" si="92"/>
        <v>0</v>
      </c>
      <c r="Y112" s="247">
        <f t="shared" si="90"/>
        <v>0</v>
      </c>
      <c r="Z112" s="247">
        <f t="shared" si="91"/>
        <v>0</v>
      </c>
      <c r="AA112" s="93"/>
    </row>
    <row r="113" spans="1:27">
      <c r="A113" s="97" t="s">
        <v>167</v>
      </c>
      <c r="B113" s="97" t="s">
        <v>168</v>
      </c>
      <c r="C113" s="46">
        <v>3160600</v>
      </c>
      <c r="D113" s="46">
        <v>0</v>
      </c>
      <c r="E113" s="46">
        <v>0</v>
      </c>
      <c r="F113" s="46">
        <f t="shared" si="95"/>
        <v>3160600</v>
      </c>
      <c r="G113" s="48">
        <v>0</v>
      </c>
      <c r="H113" s="47">
        <v>0</v>
      </c>
      <c r="I113" s="47">
        <v>0</v>
      </c>
      <c r="J113" s="47">
        <f t="shared" si="85"/>
        <v>0</v>
      </c>
      <c r="K113" s="47"/>
      <c r="L113" s="47"/>
      <c r="M113" s="47"/>
      <c r="N113" s="47">
        <f t="shared" si="79"/>
        <v>0</v>
      </c>
      <c r="O113" s="47">
        <f t="shared" si="80"/>
        <v>0</v>
      </c>
      <c r="P113" s="47">
        <f t="shared" si="81"/>
        <v>0</v>
      </c>
      <c r="Q113" s="47">
        <f t="shared" si="82"/>
        <v>0</v>
      </c>
      <c r="R113" s="47">
        <f t="shared" si="83"/>
        <v>0</v>
      </c>
      <c r="S113" s="79">
        <f t="shared" si="86"/>
        <v>0</v>
      </c>
      <c r="T113" s="79">
        <v>0</v>
      </c>
      <c r="U113" s="79">
        <v>0</v>
      </c>
      <c r="V113" s="79">
        <f t="shared" si="87"/>
        <v>0</v>
      </c>
      <c r="W113" s="47">
        <f t="shared" si="84"/>
        <v>3160600</v>
      </c>
      <c r="X113" s="247">
        <f t="shared" si="92"/>
        <v>0</v>
      </c>
      <c r="Y113" s="247">
        <f t="shared" si="90"/>
        <v>0</v>
      </c>
      <c r="Z113" s="247">
        <f t="shared" si="91"/>
        <v>0</v>
      </c>
      <c r="AA113" s="93"/>
    </row>
    <row r="114" spans="1:27" s="9" customFormat="1" ht="36" customHeight="1">
      <c r="A114" s="38" t="s">
        <v>169</v>
      </c>
      <c r="B114" s="61" t="s">
        <v>170</v>
      </c>
      <c r="C114" s="62">
        <f>C115+C117+C122+C125</f>
        <v>5425044968</v>
      </c>
      <c r="D114" s="62">
        <f t="shared" ref="D114:M114" si="110">D115+D117+D122+D125</f>
        <v>0</v>
      </c>
      <c r="E114" s="62">
        <f>E115+E117+E122+E125</f>
        <v>0</v>
      </c>
      <c r="F114" s="62">
        <f t="shared" si="95"/>
        <v>5425044968</v>
      </c>
      <c r="G114" s="62">
        <f t="shared" ref="G114:I114" si="111">G115+G117+G122+G125</f>
        <v>3280397170</v>
      </c>
      <c r="H114" s="62">
        <f t="shared" si="111"/>
        <v>0</v>
      </c>
      <c r="I114" s="62">
        <f t="shared" si="111"/>
        <v>0</v>
      </c>
      <c r="J114" s="62">
        <f t="shared" si="85"/>
        <v>3280397170</v>
      </c>
      <c r="K114" s="62">
        <f t="shared" si="110"/>
        <v>0</v>
      </c>
      <c r="L114" s="62">
        <f t="shared" si="110"/>
        <v>0</v>
      </c>
      <c r="M114" s="62">
        <f t="shared" si="110"/>
        <v>0</v>
      </c>
      <c r="N114" s="62">
        <f t="shared" si="79"/>
        <v>0</v>
      </c>
      <c r="O114" s="62">
        <f t="shared" si="80"/>
        <v>3280397170</v>
      </c>
      <c r="P114" s="62">
        <f t="shared" si="81"/>
        <v>0</v>
      </c>
      <c r="Q114" s="62">
        <f t="shared" si="82"/>
        <v>0</v>
      </c>
      <c r="R114" s="62">
        <f t="shared" si="83"/>
        <v>3280397170</v>
      </c>
      <c r="S114" s="85">
        <f t="shared" si="86"/>
        <v>60.467649380782049</v>
      </c>
      <c r="T114" s="85">
        <v>0</v>
      </c>
      <c r="U114" s="85">
        <v>0</v>
      </c>
      <c r="V114" s="85">
        <f t="shared" si="87"/>
        <v>60.467649380782049</v>
      </c>
      <c r="W114" s="62">
        <f t="shared" si="84"/>
        <v>2144647798</v>
      </c>
      <c r="X114" s="247">
        <f t="shared" si="92"/>
        <v>3280397170</v>
      </c>
      <c r="Y114" s="247">
        <f t="shared" si="90"/>
        <v>0</v>
      </c>
      <c r="Z114" s="247">
        <f t="shared" si="91"/>
        <v>0</v>
      </c>
      <c r="AA114" s="93"/>
    </row>
    <row r="115" spans="1:27" s="8" customFormat="1">
      <c r="A115" s="96" t="s">
        <v>171</v>
      </c>
      <c r="B115" s="96" t="s">
        <v>172</v>
      </c>
      <c r="C115" s="60">
        <f>C116</f>
        <v>34330000</v>
      </c>
      <c r="D115" s="60">
        <f>D116</f>
        <v>0</v>
      </c>
      <c r="E115" s="60">
        <f>E116</f>
        <v>0</v>
      </c>
      <c r="F115" s="60">
        <f t="shared" si="95"/>
        <v>34330000</v>
      </c>
      <c r="G115" s="60">
        <f t="shared" ref="G115:I115" si="112">G116</f>
        <v>16000000</v>
      </c>
      <c r="H115" s="60">
        <f t="shared" si="112"/>
        <v>0</v>
      </c>
      <c r="I115" s="60">
        <f t="shared" si="112"/>
        <v>0</v>
      </c>
      <c r="J115" s="60">
        <f t="shared" si="85"/>
        <v>16000000</v>
      </c>
      <c r="K115" s="60">
        <f t="shared" ref="K115:M115" si="113">K116</f>
        <v>0</v>
      </c>
      <c r="L115" s="60">
        <f t="shared" si="113"/>
        <v>0</v>
      </c>
      <c r="M115" s="60">
        <f t="shared" si="113"/>
        <v>0</v>
      </c>
      <c r="N115" s="60">
        <f t="shared" si="79"/>
        <v>0</v>
      </c>
      <c r="O115" s="60">
        <f t="shared" si="80"/>
        <v>16000000</v>
      </c>
      <c r="P115" s="60">
        <f t="shared" si="81"/>
        <v>0</v>
      </c>
      <c r="Q115" s="60">
        <f t="shared" si="82"/>
        <v>0</v>
      </c>
      <c r="R115" s="60">
        <f t="shared" si="83"/>
        <v>16000000</v>
      </c>
      <c r="S115" s="84">
        <f t="shared" si="86"/>
        <v>46.606466647247309</v>
      </c>
      <c r="T115" s="84">
        <v>0</v>
      </c>
      <c r="U115" s="84">
        <v>0</v>
      </c>
      <c r="V115" s="84">
        <f t="shared" si="87"/>
        <v>46.606466647247309</v>
      </c>
      <c r="W115" s="60">
        <f t="shared" si="84"/>
        <v>18330000</v>
      </c>
      <c r="X115" s="247">
        <f t="shared" si="92"/>
        <v>16000000</v>
      </c>
      <c r="Y115" s="247">
        <f t="shared" si="90"/>
        <v>0</v>
      </c>
      <c r="Z115" s="247">
        <f t="shared" si="91"/>
        <v>0</v>
      </c>
      <c r="AA115" s="93"/>
    </row>
    <row r="116" spans="1:27">
      <c r="A116" s="97" t="s">
        <v>173</v>
      </c>
      <c r="B116" s="97" t="s">
        <v>174</v>
      </c>
      <c r="C116" s="46">
        <v>34330000</v>
      </c>
      <c r="D116" s="46">
        <v>0</v>
      </c>
      <c r="E116" s="46">
        <v>0</v>
      </c>
      <c r="F116" s="46">
        <f t="shared" si="95"/>
        <v>34330000</v>
      </c>
      <c r="G116" s="47">
        <v>16000000</v>
      </c>
      <c r="H116" s="47">
        <v>0</v>
      </c>
      <c r="I116" s="47">
        <v>0</v>
      </c>
      <c r="J116" s="47">
        <f t="shared" si="85"/>
        <v>16000000</v>
      </c>
      <c r="K116" s="47"/>
      <c r="L116" s="47"/>
      <c r="M116" s="47"/>
      <c r="N116" s="47">
        <f t="shared" si="79"/>
        <v>0</v>
      </c>
      <c r="O116" s="47">
        <f t="shared" si="80"/>
        <v>16000000</v>
      </c>
      <c r="P116" s="47">
        <f t="shared" si="81"/>
        <v>0</v>
      </c>
      <c r="Q116" s="47">
        <f t="shared" si="82"/>
        <v>0</v>
      </c>
      <c r="R116" s="47">
        <f t="shared" si="83"/>
        <v>16000000</v>
      </c>
      <c r="S116" s="79">
        <f t="shared" si="86"/>
        <v>46.606466647247309</v>
      </c>
      <c r="T116" s="79">
        <v>0</v>
      </c>
      <c r="U116" s="79">
        <v>0</v>
      </c>
      <c r="V116" s="79">
        <f t="shared" si="87"/>
        <v>46.606466647247309</v>
      </c>
      <c r="W116" s="47">
        <f t="shared" si="84"/>
        <v>18330000</v>
      </c>
      <c r="X116" s="247">
        <f t="shared" si="92"/>
        <v>16000000</v>
      </c>
      <c r="Y116" s="247">
        <f t="shared" si="90"/>
        <v>0</v>
      </c>
      <c r="Z116" s="247">
        <f t="shared" si="91"/>
        <v>0</v>
      </c>
      <c r="AA116" s="93"/>
    </row>
    <row r="117" spans="1:27" s="8" customFormat="1">
      <c r="A117" s="96" t="s">
        <v>175</v>
      </c>
      <c r="B117" s="96" t="s">
        <v>176</v>
      </c>
      <c r="C117" s="99">
        <f t="shared" ref="C117:M117" si="114">SUM(C118:C121)</f>
        <v>560961600</v>
      </c>
      <c r="D117" s="99">
        <f t="shared" si="114"/>
        <v>0</v>
      </c>
      <c r="E117" s="99">
        <f>SUM(E118:E121)</f>
        <v>0</v>
      </c>
      <c r="F117" s="99">
        <f t="shared" si="95"/>
        <v>560961600</v>
      </c>
      <c r="G117" s="99">
        <f t="shared" ref="G117:I117" si="115">SUM(G118:G121)</f>
        <v>315962689</v>
      </c>
      <c r="H117" s="99">
        <f t="shared" si="115"/>
        <v>0</v>
      </c>
      <c r="I117" s="99">
        <f t="shared" si="115"/>
        <v>0</v>
      </c>
      <c r="J117" s="99">
        <f t="shared" si="85"/>
        <v>315962689</v>
      </c>
      <c r="K117" s="99">
        <f>SUM(K118:K121)</f>
        <v>0</v>
      </c>
      <c r="L117" s="99">
        <f t="shared" si="114"/>
        <v>0</v>
      </c>
      <c r="M117" s="99">
        <f t="shared" si="114"/>
        <v>0</v>
      </c>
      <c r="N117" s="99">
        <f>SUM(K117:M117)</f>
        <v>0</v>
      </c>
      <c r="O117" s="99">
        <f t="shared" si="80"/>
        <v>315962689</v>
      </c>
      <c r="P117" s="99">
        <f t="shared" si="81"/>
        <v>0</v>
      </c>
      <c r="Q117" s="99">
        <f t="shared" si="82"/>
        <v>0</v>
      </c>
      <c r="R117" s="99">
        <f>SUM(O117:Q117)</f>
        <v>315962689</v>
      </c>
      <c r="S117" s="102">
        <f>O117/C117*100</f>
        <v>56.325190351710354</v>
      </c>
      <c r="T117" s="102">
        <v>0</v>
      </c>
      <c r="U117" s="102">
        <v>0</v>
      </c>
      <c r="V117" s="102">
        <f t="shared" si="87"/>
        <v>56.325190351710354</v>
      </c>
      <c r="W117" s="99">
        <f t="shared" si="84"/>
        <v>244998911</v>
      </c>
      <c r="X117" s="247">
        <f t="shared" si="92"/>
        <v>315962689</v>
      </c>
      <c r="Y117" s="247">
        <f t="shared" si="90"/>
        <v>0</v>
      </c>
      <c r="Z117" s="247">
        <f t="shared" si="91"/>
        <v>0</v>
      </c>
      <c r="AA117" s="93"/>
    </row>
    <row r="118" spans="1:27">
      <c r="A118" s="97" t="s">
        <v>177</v>
      </c>
      <c r="B118" s="97" t="s">
        <v>178</v>
      </c>
      <c r="C118" s="46">
        <v>1872000</v>
      </c>
      <c r="D118" s="46">
        <v>0</v>
      </c>
      <c r="E118" s="46">
        <v>0</v>
      </c>
      <c r="F118" s="46">
        <f t="shared" si="95"/>
        <v>1872000</v>
      </c>
      <c r="G118" s="48">
        <v>574112</v>
      </c>
      <c r="H118" s="47">
        <v>0</v>
      </c>
      <c r="I118" s="47">
        <v>0</v>
      </c>
      <c r="J118" s="47">
        <f t="shared" si="85"/>
        <v>574112</v>
      </c>
      <c r="K118" s="47"/>
      <c r="L118" s="47"/>
      <c r="M118" s="47"/>
      <c r="N118" s="47">
        <f t="shared" si="79"/>
        <v>0</v>
      </c>
      <c r="O118" s="47">
        <f>K118+G118</f>
        <v>574112</v>
      </c>
      <c r="P118" s="47">
        <f t="shared" si="81"/>
        <v>0</v>
      </c>
      <c r="Q118" s="47">
        <f t="shared" si="82"/>
        <v>0</v>
      </c>
      <c r="R118" s="47">
        <f>SUM(O118:Q118)</f>
        <v>574112</v>
      </c>
      <c r="S118" s="79">
        <f>O118/C118*100</f>
        <v>30.66837606837607</v>
      </c>
      <c r="T118" s="79">
        <v>0</v>
      </c>
      <c r="U118" s="79">
        <v>0</v>
      </c>
      <c r="V118" s="79">
        <f t="shared" si="87"/>
        <v>30.66837606837607</v>
      </c>
      <c r="W118" s="47">
        <f t="shared" si="84"/>
        <v>1297888</v>
      </c>
      <c r="X118" s="247">
        <f t="shared" si="92"/>
        <v>574112</v>
      </c>
      <c r="Y118" s="247">
        <f t="shared" si="90"/>
        <v>0</v>
      </c>
      <c r="Z118" s="247">
        <f t="shared" si="91"/>
        <v>0</v>
      </c>
      <c r="AA118" s="93"/>
    </row>
    <row r="119" spans="1:27">
      <c r="A119" s="97" t="s">
        <v>179</v>
      </c>
      <c r="B119" s="97" t="s">
        <v>180</v>
      </c>
      <c r="C119" s="46">
        <v>38556000</v>
      </c>
      <c r="D119" s="46">
        <v>0</v>
      </c>
      <c r="E119" s="46">
        <v>0</v>
      </c>
      <c r="F119" s="46">
        <f t="shared" si="95"/>
        <v>38556000</v>
      </c>
      <c r="G119" s="63">
        <v>28408932</v>
      </c>
      <c r="H119" s="47">
        <v>0</v>
      </c>
      <c r="I119" s="47">
        <v>0</v>
      </c>
      <c r="J119" s="47">
        <f t="shared" si="85"/>
        <v>28408932</v>
      </c>
      <c r="K119" s="47"/>
      <c r="L119" s="47"/>
      <c r="M119" s="47"/>
      <c r="N119" s="47">
        <f t="shared" si="79"/>
        <v>0</v>
      </c>
      <c r="O119" s="47">
        <f>K119+G119</f>
        <v>28408932</v>
      </c>
      <c r="P119" s="47">
        <f>L119+H119</f>
        <v>0</v>
      </c>
      <c r="Q119" s="47">
        <f>M119+I119</f>
        <v>0</v>
      </c>
      <c r="R119" s="47">
        <f>SUM(O119:Q119)</f>
        <v>28408932</v>
      </c>
      <c r="S119" s="79">
        <f>O119/C119*100</f>
        <v>73.682259570494864</v>
      </c>
      <c r="T119" s="79">
        <v>0</v>
      </c>
      <c r="U119" s="79">
        <v>0</v>
      </c>
      <c r="V119" s="79">
        <f t="shared" si="87"/>
        <v>73.682259570494864</v>
      </c>
      <c r="W119" s="47">
        <f t="shared" si="84"/>
        <v>10147068</v>
      </c>
      <c r="X119" s="247">
        <f t="shared" si="92"/>
        <v>28408932</v>
      </c>
      <c r="Y119" s="247">
        <f t="shared" si="90"/>
        <v>0</v>
      </c>
      <c r="Z119" s="247">
        <f t="shared" si="91"/>
        <v>0</v>
      </c>
      <c r="AA119" s="93"/>
    </row>
    <row r="120" spans="1:27">
      <c r="A120" s="97" t="s">
        <v>181</v>
      </c>
      <c r="B120" s="97" t="s">
        <v>182</v>
      </c>
      <c r="C120" s="46">
        <v>156240000</v>
      </c>
      <c r="D120" s="46">
        <v>0</v>
      </c>
      <c r="E120" s="46">
        <v>0</v>
      </c>
      <c r="F120" s="46">
        <f t="shared" si="95"/>
        <v>156240000</v>
      </c>
      <c r="G120" s="63">
        <v>101266965</v>
      </c>
      <c r="H120" s="47">
        <v>0</v>
      </c>
      <c r="I120" s="47">
        <v>0</v>
      </c>
      <c r="J120" s="47">
        <f t="shared" si="85"/>
        <v>101266965</v>
      </c>
      <c r="K120" s="47"/>
      <c r="L120" s="47"/>
      <c r="M120" s="47"/>
      <c r="N120" s="47">
        <f>SUM(K120:M120)</f>
        <v>0</v>
      </c>
      <c r="O120" s="47">
        <f>K120+G120</f>
        <v>101266965</v>
      </c>
      <c r="P120" s="47">
        <f t="shared" ref="P120:P183" si="116">L120+H120</f>
        <v>0</v>
      </c>
      <c r="Q120" s="47">
        <f t="shared" ref="Q120:Q183" si="117">M120+I120</f>
        <v>0</v>
      </c>
      <c r="R120" s="47">
        <f>SUM(O120:Q120)</f>
        <v>101266965</v>
      </c>
      <c r="S120" s="79">
        <f>O120/C120*100</f>
        <v>64.815005760368663</v>
      </c>
      <c r="T120" s="79">
        <v>0</v>
      </c>
      <c r="U120" s="79">
        <v>0</v>
      </c>
      <c r="V120" s="79">
        <f t="shared" si="87"/>
        <v>64.815005760368663</v>
      </c>
      <c r="W120" s="47">
        <f>F120-R120</f>
        <v>54973035</v>
      </c>
      <c r="X120" s="247">
        <f t="shared" si="92"/>
        <v>101266965</v>
      </c>
      <c r="Y120" s="247">
        <f t="shared" si="90"/>
        <v>0</v>
      </c>
      <c r="Z120" s="247">
        <f t="shared" si="91"/>
        <v>0</v>
      </c>
      <c r="AA120" s="93"/>
    </row>
    <row r="121" spans="1:27">
      <c r="A121" s="97" t="s">
        <v>183</v>
      </c>
      <c r="B121" s="97" t="s">
        <v>184</v>
      </c>
      <c r="C121" s="46">
        <v>364293600</v>
      </c>
      <c r="D121" s="46">
        <v>0</v>
      </c>
      <c r="E121" s="46">
        <v>0</v>
      </c>
      <c r="F121" s="46">
        <f t="shared" si="95"/>
        <v>364293600</v>
      </c>
      <c r="G121" s="63">
        <v>185712680</v>
      </c>
      <c r="H121" s="47">
        <v>0</v>
      </c>
      <c r="I121" s="47">
        <v>0</v>
      </c>
      <c r="J121" s="47">
        <f t="shared" si="85"/>
        <v>185712680</v>
      </c>
      <c r="K121" s="47"/>
      <c r="L121" s="47"/>
      <c r="M121" s="47"/>
      <c r="N121" s="47">
        <f t="shared" si="79"/>
        <v>0</v>
      </c>
      <c r="O121" s="47">
        <f>K121+G121</f>
        <v>185712680</v>
      </c>
      <c r="P121" s="47">
        <f t="shared" si="116"/>
        <v>0</v>
      </c>
      <c r="Q121" s="47">
        <f t="shared" si="117"/>
        <v>0</v>
      </c>
      <c r="R121" s="47">
        <f>SUM(O121:Q121)</f>
        <v>185712680</v>
      </c>
      <c r="S121" s="79">
        <f>O121/C121*100</f>
        <v>50.97884783043127</v>
      </c>
      <c r="T121" s="79">
        <v>0</v>
      </c>
      <c r="U121" s="79">
        <v>0</v>
      </c>
      <c r="V121" s="79">
        <f t="shared" si="87"/>
        <v>50.97884783043127</v>
      </c>
      <c r="W121" s="47">
        <f>F121-R121</f>
        <v>178580920</v>
      </c>
      <c r="X121" s="247">
        <f t="shared" si="92"/>
        <v>185712680</v>
      </c>
      <c r="Y121" s="247">
        <f t="shared" si="90"/>
        <v>0</v>
      </c>
      <c r="Z121" s="247">
        <f t="shared" si="91"/>
        <v>0</v>
      </c>
      <c r="AA121" s="93"/>
    </row>
    <row r="122" spans="1:27" s="8" customFormat="1">
      <c r="A122" s="96" t="s">
        <v>185</v>
      </c>
      <c r="B122" s="96" t="s">
        <v>186</v>
      </c>
      <c r="C122" s="60">
        <f t="shared" ref="C122:M122" si="118">SUM(C123:C124)</f>
        <v>47295000</v>
      </c>
      <c r="D122" s="60">
        <f t="shared" si="118"/>
        <v>0</v>
      </c>
      <c r="E122" s="60">
        <f>SUM(E123:E124)</f>
        <v>0</v>
      </c>
      <c r="F122" s="60">
        <f t="shared" si="95"/>
        <v>47295000</v>
      </c>
      <c r="G122" s="60">
        <f t="shared" ref="G122:I122" si="119">SUM(G123:G124)</f>
        <v>6293700</v>
      </c>
      <c r="H122" s="60">
        <f t="shared" si="119"/>
        <v>0</v>
      </c>
      <c r="I122" s="60">
        <f t="shared" si="119"/>
        <v>0</v>
      </c>
      <c r="J122" s="60">
        <f t="shared" si="85"/>
        <v>6293700</v>
      </c>
      <c r="K122" s="60">
        <f t="shared" si="118"/>
        <v>0</v>
      </c>
      <c r="L122" s="60">
        <f t="shared" si="118"/>
        <v>0</v>
      </c>
      <c r="M122" s="60">
        <f t="shared" si="118"/>
        <v>0</v>
      </c>
      <c r="N122" s="60">
        <f t="shared" si="79"/>
        <v>0</v>
      </c>
      <c r="O122" s="60">
        <f t="shared" ref="O122:O183" si="120">K122+G122</f>
        <v>6293700</v>
      </c>
      <c r="P122" s="60">
        <f t="shared" si="116"/>
        <v>0</v>
      </c>
      <c r="Q122" s="60">
        <f t="shared" si="117"/>
        <v>0</v>
      </c>
      <c r="R122" s="60">
        <f t="shared" ref="R122:R183" si="121">SUM(O122:Q122)</f>
        <v>6293700</v>
      </c>
      <c r="S122" s="84">
        <f t="shared" si="86"/>
        <v>13.30732635585157</v>
      </c>
      <c r="T122" s="84">
        <v>0</v>
      </c>
      <c r="U122" s="84">
        <v>0</v>
      </c>
      <c r="V122" s="84">
        <f t="shared" si="87"/>
        <v>13.30732635585157</v>
      </c>
      <c r="W122" s="60">
        <f t="shared" si="84"/>
        <v>41001300</v>
      </c>
      <c r="X122" s="247">
        <f t="shared" si="92"/>
        <v>6293700</v>
      </c>
      <c r="Y122" s="247">
        <f t="shared" si="90"/>
        <v>0</v>
      </c>
      <c r="Z122" s="247">
        <f t="shared" si="91"/>
        <v>0</v>
      </c>
      <c r="AA122" s="93"/>
    </row>
    <row r="123" spans="1:27">
      <c r="A123" s="44" t="s">
        <v>343</v>
      </c>
      <c r="B123" s="45" t="s">
        <v>344</v>
      </c>
      <c r="C123" s="46">
        <v>11000000</v>
      </c>
      <c r="D123" s="46">
        <v>0</v>
      </c>
      <c r="E123" s="46">
        <v>0</v>
      </c>
      <c r="F123" s="46">
        <f t="shared" si="95"/>
        <v>11000000</v>
      </c>
      <c r="G123" s="47">
        <v>0</v>
      </c>
      <c r="H123" s="47">
        <v>0</v>
      </c>
      <c r="I123" s="47">
        <v>0</v>
      </c>
      <c r="J123" s="47">
        <f t="shared" si="85"/>
        <v>0</v>
      </c>
      <c r="K123" s="47"/>
      <c r="L123" s="47"/>
      <c r="M123" s="47"/>
      <c r="N123" s="47">
        <f t="shared" si="79"/>
        <v>0</v>
      </c>
      <c r="O123" s="47">
        <f t="shared" si="120"/>
        <v>0</v>
      </c>
      <c r="P123" s="47">
        <f t="shared" si="116"/>
        <v>0</v>
      </c>
      <c r="Q123" s="47">
        <f t="shared" si="117"/>
        <v>0</v>
      </c>
      <c r="R123" s="47">
        <f t="shared" si="121"/>
        <v>0</v>
      </c>
      <c r="S123" s="79">
        <f t="shared" si="86"/>
        <v>0</v>
      </c>
      <c r="T123" s="79">
        <v>0</v>
      </c>
      <c r="U123" s="79">
        <v>0</v>
      </c>
      <c r="V123" s="79">
        <f t="shared" si="87"/>
        <v>0</v>
      </c>
      <c r="W123" s="47">
        <f t="shared" si="84"/>
        <v>11000000</v>
      </c>
      <c r="X123" s="247">
        <f t="shared" si="92"/>
        <v>0</v>
      </c>
      <c r="Y123" s="247">
        <f t="shared" si="90"/>
        <v>0</v>
      </c>
      <c r="Z123" s="247">
        <f t="shared" si="91"/>
        <v>0</v>
      </c>
      <c r="AA123" s="93"/>
    </row>
    <row r="124" spans="1:27">
      <c r="A124" s="44" t="s">
        <v>302</v>
      </c>
      <c r="B124" s="45" t="s">
        <v>345</v>
      </c>
      <c r="C124" s="46">
        <v>36295000</v>
      </c>
      <c r="D124" s="46">
        <v>0</v>
      </c>
      <c r="E124" s="46">
        <v>0</v>
      </c>
      <c r="F124" s="46">
        <f t="shared" si="95"/>
        <v>36295000</v>
      </c>
      <c r="G124" s="47">
        <v>6293700</v>
      </c>
      <c r="H124" s="47">
        <v>0</v>
      </c>
      <c r="I124" s="47">
        <v>0</v>
      </c>
      <c r="J124" s="47">
        <f t="shared" si="85"/>
        <v>6293700</v>
      </c>
      <c r="K124" s="47"/>
      <c r="L124" s="47"/>
      <c r="M124" s="47"/>
      <c r="N124" s="47">
        <f t="shared" si="79"/>
        <v>0</v>
      </c>
      <c r="O124" s="47">
        <f t="shared" si="120"/>
        <v>6293700</v>
      </c>
      <c r="P124" s="47">
        <f t="shared" si="116"/>
        <v>0</v>
      </c>
      <c r="Q124" s="47">
        <f t="shared" si="117"/>
        <v>0</v>
      </c>
      <c r="R124" s="47">
        <f t="shared" si="121"/>
        <v>6293700</v>
      </c>
      <c r="S124" s="79">
        <f t="shared" si="86"/>
        <v>17.340405014464803</v>
      </c>
      <c r="T124" s="79">
        <v>0</v>
      </c>
      <c r="U124" s="79">
        <v>0</v>
      </c>
      <c r="V124" s="79">
        <f t="shared" si="87"/>
        <v>17.340405014464803</v>
      </c>
      <c r="W124" s="47">
        <f t="shared" si="84"/>
        <v>30001300</v>
      </c>
      <c r="X124" s="247">
        <f t="shared" si="92"/>
        <v>6293700</v>
      </c>
      <c r="Y124" s="247">
        <f t="shared" si="90"/>
        <v>0</v>
      </c>
      <c r="Z124" s="247">
        <f t="shared" si="91"/>
        <v>0</v>
      </c>
      <c r="AA124" s="93"/>
    </row>
    <row r="125" spans="1:27" s="8" customFormat="1">
      <c r="A125" s="96" t="s">
        <v>191</v>
      </c>
      <c r="B125" s="96" t="s">
        <v>192</v>
      </c>
      <c r="C125" s="100">
        <f>SUM(C126:C135)</f>
        <v>4782458368</v>
      </c>
      <c r="D125" s="100">
        <f t="shared" ref="D125:M125" si="122">SUM(D126:D135)</f>
        <v>0</v>
      </c>
      <c r="E125" s="100">
        <f>SUM(E126:E135)</f>
        <v>0</v>
      </c>
      <c r="F125" s="100">
        <f t="shared" si="95"/>
        <v>4782458368</v>
      </c>
      <c r="G125" s="100">
        <f>SUM(G126:G135)</f>
        <v>2942140781</v>
      </c>
      <c r="H125" s="100">
        <f t="shared" ref="H125:I125" si="123">SUM(H126:H135)</f>
        <v>0</v>
      </c>
      <c r="I125" s="100">
        <f t="shared" si="123"/>
        <v>0</v>
      </c>
      <c r="J125" s="100">
        <f t="shared" si="85"/>
        <v>2942140781</v>
      </c>
      <c r="K125" s="100">
        <f>SUM(K126:K135)</f>
        <v>0</v>
      </c>
      <c r="L125" s="100">
        <f t="shared" si="122"/>
        <v>0</v>
      </c>
      <c r="M125" s="100">
        <f t="shared" si="122"/>
        <v>0</v>
      </c>
      <c r="N125" s="100">
        <f t="shared" si="79"/>
        <v>0</v>
      </c>
      <c r="O125" s="100">
        <f t="shared" si="120"/>
        <v>2942140781</v>
      </c>
      <c r="P125" s="100">
        <f t="shared" si="116"/>
        <v>0</v>
      </c>
      <c r="Q125" s="100">
        <f t="shared" si="117"/>
        <v>0</v>
      </c>
      <c r="R125" s="100">
        <f t="shared" si="121"/>
        <v>2942140781</v>
      </c>
      <c r="S125" s="103">
        <f t="shared" si="86"/>
        <v>61.519422744716721</v>
      </c>
      <c r="T125" s="103">
        <v>0</v>
      </c>
      <c r="U125" s="103">
        <v>0</v>
      </c>
      <c r="V125" s="103">
        <f t="shared" si="87"/>
        <v>61.519422744716721</v>
      </c>
      <c r="W125" s="100">
        <f t="shared" si="84"/>
        <v>1840317587</v>
      </c>
      <c r="X125" s="247">
        <f t="shared" si="92"/>
        <v>2942140781</v>
      </c>
      <c r="Y125" s="247">
        <f t="shared" si="90"/>
        <v>0</v>
      </c>
      <c r="Z125" s="247">
        <f t="shared" si="91"/>
        <v>0</v>
      </c>
      <c r="AA125" s="93"/>
    </row>
    <row r="126" spans="1:27">
      <c r="A126" s="44" t="s">
        <v>193</v>
      </c>
      <c r="B126" s="45" t="s">
        <v>194</v>
      </c>
      <c r="C126" s="46">
        <v>3455400000</v>
      </c>
      <c r="D126" s="46">
        <v>0</v>
      </c>
      <c r="E126" s="46">
        <v>0</v>
      </c>
      <c r="F126" s="46">
        <f t="shared" si="95"/>
        <v>3455400000</v>
      </c>
      <c r="G126" s="47">
        <v>2277800000</v>
      </c>
      <c r="H126" s="47">
        <v>0</v>
      </c>
      <c r="I126" s="47">
        <v>0</v>
      </c>
      <c r="J126" s="47">
        <f t="shared" si="85"/>
        <v>2277800000</v>
      </c>
      <c r="K126" s="47"/>
      <c r="L126" s="47"/>
      <c r="M126" s="47"/>
      <c r="N126" s="47">
        <f t="shared" si="79"/>
        <v>0</v>
      </c>
      <c r="O126" s="47">
        <f t="shared" si="120"/>
        <v>2277800000</v>
      </c>
      <c r="P126" s="47">
        <f t="shared" si="116"/>
        <v>0</v>
      </c>
      <c r="Q126" s="47">
        <f t="shared" si="117"/>
        <v>0</v>
      </c>
      <c r="R126" s="47">
        <f t="shared" si="121"/>
        <v>2277800000</v>
      </c>
      <c r="S126" s="79">
        <f t="shared" si="86"/>
        <v>65.920009260867047</v>
      </c>
      <c r="T126" s="79">
        <v>0</v>
      </c>
      <c r="U126" s="79">
        <v>0</v>
      </c>
      <c r="V126" s="79">
        <f t="shared" si="87"/>
        <v>65.920009260867047</v>
      </c>
      <c r="W126" s="47">
        <f t="shared" si="84"/>
        <v>1177600000</v>
      </c>
      <c r="X126" s="247">
        <f t="shared" si="92"/>
        <v>2277800000</v>
      </c>
      <c r="Y126" s="247">
        <f t="shared" si="90"/>
        <v>0</v>
      </c>
      <c r="Z126" s="247">
        <f t="shared" si="91"/>
        <v>0</v>
      </c>
      <c r="AA126" s="93"/>
    </row>
    <row r="127" spans="1:27">
      <c r="A127" s="44" t="s">
        <v>189</v>
      </c>
      <c r="B127" s="45" t="s">
        <v>190</v>
      </c>
      <c r="C127" s="46">
        <v>580416000</v>
      </c>
      <c r="D127" s="46">
        <v>0</v>
      </c>
      <c r="E127" s="46">
        <v>0</v>
      </c>
      <c r="F127" s="46">
        <f t="shared" si="95"/>
        <v>580416000</v>
      </c>
      <c r="G127" s="47">
        <v>289770000</v>
      </c>
      <c r="H127" s="47">
        <v>0</v>
      </c>
      <c r="I127" s="47">
        <v>0</v>
      </c>
      <c r="J127" s="47">
        <f t="shared" si="85"/>
        <v>289770000</v>
      </c>
      <c r="K127" s="47"/>
      <c r="L127" s="47"/>
      <c r="M127" s="47"/>
      <c r="N127" s="47">
        <f t="shared" si="79"/>
        <v>0</v>
      </c>
      <c r="O127" s="47">
        <f t="shared" si="120"/>
        <v>289770000</v>
      </c>
      <c r="P127" s="47">
        <f t="shared" si="116"/>
        <v>0</v>
      </c>
      <c r="Q127" s="47">
        <f t="shared" si="117"/>
        <v>0</v>
      </c>
      <c r="R127" s="47">
        <f t="shared" si="121"/>
        <v>289770000</v>
      </c>
      <c r="S127" s="79">
        <f t="shared" si="86"/>
        <v>49.924536883890177</v>
      </c>
      <c r="T127" s="79">
        <v>0</v>
      </c>
      <c r="U127" s="79">
        <v>0</v>
      </c>
      <c r="V127" s="79">
        <f t="shared" si="87"/>
        <v>49.924536883890177</v>
      </c>
      <c r="W127" s="47">
        <f t="shared" si="84"/>
        <v>290646000</v>
      </c>
      <c r="X127" s="247">
        <f t="shared" si="92"/>
        <v>289770000</v>
      </c>
      <c r="Y127" s="247">
        <f t="shared" si="90"/>
        <v>0</v>
      </c>
      <c r="Z127" s="247">
        <f t="shared" si="91"/>
        <v>0</v>
      </c>
      <c r="AA127" s="93"/>
    </row>
    <row r="128" spans="1:27">
      <c r="A128" s="44" t="s">
        <v>347</v>
      </c>
      <c r="B128" s="45" t="s">
        <v>346</v>
      </c>
      <c r="C128" s="46">
        <v>345678000</v>
      </c>
      <c r="D128" s="46">
        <v>0</v>
      </c>
      <c r="E128" s="46">
        <v>0</v>
      </c>
      <c r="F128" s="46">
        <f t="shared" si="95"/>
        <v>345678000</v>
      </c>
      <c r="G128" s="47">
        <v>171000000</v>
      </c>
      <c r="H128" s="47">
        <v>0</v>
      </c>
      <c r="I128" s="47">
        <v>0</v>
      </c>
      <c r="J128" s="47">
        <f t="shared" si="85"/>
        <v>171000000</v>
      </c>
      <c r="K128" s="47"/>
      <c r="L128" s="47"/>
      <c r="M128" s="47"/>
      <c r="N128" s="47">
        <f t="shared" si="79"/>
        <v>0</v>
      </c>
      <c r="O128" s="47">
        <f t="shared" si="120"/>
        <v>171000000</v>
      </c>
      <c r="P128" s="47">
        <f t="shared" si="116"/>
        <v>0</v>
      </c>
      <c r="Q128" s="47">
        <f t="shared" si="117"/>
        <v>0</v>
      </c>
      <c r="R128" s="47">
        <f t="shared" si="121"/>
        <v>171000000</v>
      </c>
      <c r="S128" s="79">
        <f t="shared" si="86"/>
        <v>49.468002013434472</v>
      </c>
      <c r="T128" s="79">
        <v>0</v>
      </c>
      <c r="U128" s="79">
        <v>0</v>
      </c>
      <c r="V128" s="79">
        <f t="shared" si="87"/>
        <v>49.468002013434472</v>
      </c>
      <c r="W128" s="47">
        <f t="shared" si="84"/>
        <v>174678000</v>
      </c>
      <c r="X128" s="247">
        <f t="shared" si="92"/>
        <v>171000000</v>
      </c>
      <c r="Y128" s="247">
        <f t="shared" si="90"/>
        <v>0</v>
      </c>
      <c r="Z128" s="247">
        <f t="shared" si="91"/>
        <v>0</v>
      </c>
      <c r="AA128" s="93"/>
    </row>
    <row r="129" spans="1:27">
      <c r="A129" s="44" t="s">
        <v>348</v>
      </c>
      <c r="B129" s="45" t="s">
        <v>349</v>
      </c>
      <c r="C129" s="46">
        <v>49350000</v>
      </c>
      <c r="D129" s="46">
        <v>0</v>
      </c>
      <c r="E129" s="46">
        <v>0</v>
      </c>
      <c r="F129" s="46">
        <f t="shared" si="95"/>
        <v>49350000</v>
      </c>
      <c r="G129" s="47">
        <v>0</v>
      </c>
      <c r="H129" s="47">
        <v>0</v>
      </c>
      <c r="I129" s="47">
        <v>0</v>
      </c>
      <c r="J129" s="47">
        <f t="shared" si="85"/>
        <v>0</v>
      </c>
      <c r="K129" s="47"/>
      <c r="L129" s="47"/>
      <c r="M129" s="47"/>
      <c r="N129" s="47">
        <f t="shared" si="79"/>
        <v>0</v>
      </c>
      <c r="O129" s="47">
        <f t="shared" si="120"/>
        <v>0</v>
      </c>
      <c r="P129" s="47">
        <f t="shared" si="116"/>
        <v>0</v>
      </c>
      <c r="Q129" s="47">
        <f t="shared" si="117"/>
        <v>0</v>
      </c>
      <c r="R129" s="47">
        <f t="shared" si="121"/>
        <v>0</v>
      </c>
      <c r="S129" s="79">
        <f t="shared" si="86"/>
        <v>0</v>
      </c>
      <c r="T129" s="79">
        <v>0</v>
      </c>
      <c r="U129" s="79">
        <v>0</v>
      </c>
      <c r="V129" s="79">
        <f t="shared" si="87"/>
        <v>0</v>
      </c>
      <c r="W129" s="47">
        <f t="shared" si="84"/>
        <v>49350000</v>
      </c>
      <c r="X129" s="247">
        <f t="shared" si="92"/>
        <v>0</v>
      </c>
      <c r="Y129" s="247">
        <f t="shared" si="90"/>
        <v>0</v>
      </c>
      <c r="Z129" s="247">
        <f t="shared" si="91"/>
        <v>0</v>
      </c>
      <c r="AA129" s="93"/>
    </row>
    <row r="130" spans="1:27">
      <c r="A130" s="44" t="s">
        <v>195</v>
      </c>
      <c r="B130" s="45" t="s">
        <v>196</v>
      </c>
      <c r="C130" s="46">
        <v>127584000</v>
      </c>
      <c r="D130" s="46">
        <v>0</v>
      </c>
      <c r="E130" s="46">
        <v>0</v>
      </c>
      <c r="F130" s="46">
        <f t="shared" si="95"/>
        <v>127584000</v>
      </c>
      <c r="G130" s="47">
        <v>79520000</v>
      </c>
      <c r="H130" s="47">
        <v>0</v>
      </c>
      <c r="I130" s="47">
        <v>0</v>
      </c>
      <c r="J130" s="47">
        <f t="shared" si="85"/>
        <v>79520000</v>
      </c>
      <c r="K130" s="47"/>
      <c r="L130" s="47"/>
      <c r="M130" s="47"/>
      <c r="N130" s="47">
        <f t="shared" si="79"/>
        <v>0</v>
      </c>
      <c r="O130" s="47">
        <f t="shared" si="120"/>
        <v>79520000</v>
      </c>
      <c r="P130" s="47">
        <f t="shared" si="116"/>
        <v>0</v>
      </c>
      <c r="Q130" s="47">
        <f t="shared" si="117"/>
        <v>0</v>
      </c>
      <c r="R130" s="47">
        <f t="shared" si="121"/>
        <v>79520000</v>
      </c>
      <c r="S130" s="79">
        <f t="shared" si="86"/>
        <v>62.327564584900927</v>
      </c>
      <c r="T130" s="79">
        <v>0</v>
      </c>
      <c r="U130" s="79">
        <v>0</v>
      </c>
      <c r="V130" s="79">
        <f t="shared" si="87"/>
        <v>62.327564584900927</v>
      </c>
      <c r="W130" s="47">
        <f t="shared" si="84"/>
        <v>48064000</v>
      </c>
      <c r="X130" s="247">
        <f t="shared" si="92"/>
        <v>79520000</v>
      </c>
      <c r="Y130" s="247">
        <f t="shared" si="90"/>
        <v>0</v>
      </c>
      <c r="Z130" s="247">
        <f t="shared" si="91"/>
        <v>0</v>
      </c>
      <c r="AA130" s="93"/>
    </row>
    <row r="131" spans="1:27">
      <c r="A131" s="44" t="s">
        <v>197</v>
      </c>
      <c r="B131" s="45" t="s">
        <v>198</v>
      </c>
      <c r="C131" s="46">
        <v>7654368</v>
      </c>
      <c r="D131" s="46">
        <v>0</v>
      </c>
      <c r="E131" s="46">
        <v>0</v>
      </c>
      <c r="F131" s="46">
        <f t="shared" si="95"/>
        <v>7654368</v>
      </c>
      <c r="G131" s="47">
        <v>4770781</v>
      </c>
      <c r="H131" s="47">
        <v>0</v>
      </c>
      <c r="I131" s="47">
        <v>0</v>
      </c>
      <c r="J131" s="47">
        <f t="shared" si="85"/>
        <v>4770781</v>
      </c>
      <c r="K131" s="47"/>
      <c r="L131" s="47"/>
      <c r="M131" s="47"/>
      <c r="N131" s="47">
        <f t="shared" si="79"/>
        <v>0</v>
      </c>
      <c r="O131" s="47">
        <f t="shared" si="120"/>
        <v>4770781</v>
      </c>
      <c r="P131" s="47">
        <f t="shared" si="116"/>
        <v>0</v>
      </c>
      <c r="Q131" s="47">
        <f t="shared" si="117"/>
        <v>0</v>
      </c>
      <c r="R131" s="47">
        <f t="shared" si="121"/>
        <v>4770781</v>
      </c>
      <c r="S131" s="79">
        <f t="shared" si="86"/>
        <v>62.327562510712845</v>
      </c>
      <c r="T131" s="79">
        <v>0</v>
      </c>
      <c r="U131" s="79">
        <v>0</v>
      </c>
      <c r="V131" s="79">
        <f t="shared" si="87"/>
        <v>62.327562510712845</v>
      </c>
      <c r="W131" s="47">
        <f t="shared" si="84"/>
        <v>2883587</v>
      </c>
      <c r="X131" s="247">
        <f t="shared" si="92"/>
        <v>4770781</v>
      </c>
      <c r="Y131" s="247">
        <f t="shared" si="90"/>
        <v>0</v>
      </c>
      <c r="Z131" s="247">
        <f t="shared" si="91"/>
        <v>0</v>
      </c>
      <c r="AA131" s="93"/>
    </row>
    <row r="132" spans="1:27">
      <c r="A132" s="44" t="s">
        <v>351</v>
      </c>
      <c r="B132" s="45" t="s">
        <v>350</v>
      </c>
      <c r="C132" s="46">
        <v>9568800</v>
      </c>
      <c r="D132" s="46">
        <v>0</v>
      </c>
      <c r="E132" s="46">
        <v>0</v>
      </c>
      <c r="F132" s="46">
        <f t="shared" si="95"/>
        <v>9568800</v>
      </c>
      <c r="G132" s="47">
        <v>5964000</v>
      </c>
      <c r="H132" s="47">
        <v>0</v>
      </c>
      <c r="I132" s="47">
        <v>0</v>
      </c>
      <c r="J132" s="47">
        <f t="shared" si="85"/>
        <v>5964000</v>
      </c>
      <c r="K132" s="47"/>
      <c r="L132" s="47"/>
      <c r="M132" s="47"/>
      <c r="N132" s="47">
        <f t="shared" si="79"/>
        <v>0</v>
      </c>
      <c r="O132" s="47">
        <f t="shared" si="120"/>
        <v>5964000</v>
      </c>
      <c r="P132" s="47">
        <f t="shared" si="116"/>
        <v>0</v>
      </c>
      <c r="Q132" s="47">
        <f t="shared" si="117"/>
        <v>0</v>
      </c>
      <c r="R132" s="47">
        <f t="shared" si="121"/>
        <v>5964000</v>
      </c>
      <c r="S132" s="79">
        <f t="shared" si="86"/>
        <v>62.327564584900927</v>
      </c>
      <c r="T132" s="79">
        <v>0</v>
      </c>
      <c r="U132" s="79">
        <v>0</v>
      </c>
      <c r="V132" s="79">
        <f t="shared" si="87"/>
        <v>62.327564584900927</v>
      </c>
      <c r="W132" s="47">
        <f t="shared" si="84"/>
        <v>3604800</v>
      </c>
      <c r="X132" s="247">
        <f t="shared" si="92"/>
        <v>5964000</v>
      </c>
      <c r="Y132" s="247">
        <f t="shared" si="90"/>
        <v>0</v>
      </c>
      <c r="Z132" s="247">
        <f t="shared" si="91"/>
        <v>0</v>
      </c>
      <c r="AA132" s="93"/>
    </row>
    <row r="133" spans="1:27">
      <c r="A133" s="44" t="s">
        <v>352</v>
      </c>
      <c r="B133" s="45" t="s">
        <v>353</v>
      </c>
      <c r="C133" s="46">
        <v>118015200</v>
      </c>
      <c r="D133" s="46">
        <v>0</v>
      </c>
      <c r="E133" s="46">
        <v>0</v>
      </c>
      <c r="F133" s="46">
        <f t="shared" si="95"/>
        <v>118015200</v>
      </c>
      <c r="G133" s="47">
        <v>73556000</v>
      </c>
      <c r="H133" s="47">
        <v>0</v>
      </c>
      <c r="I133" s="47">
        <v>0</v>
      </c>
      <c r="J133" s="47">
        <f t="shared" si="85"/>
        <v>73556000</v>
      </c>
      <c r="K133" s="47"/>
      <c r="L133" s="47"/>
      <c r="M133" s="47"/>
      <c r="N133" s="47">
        <f t="shared" si="79"/>
        <v>0</v>
      </c>
      <c r="O133" s="47">
        <f t="shared" si="120"/>
        <v>73556000</v>
      </c>
      <c r="P133" s="47">
        <f t="shared" si="116"/>
        <v>0</v>
      </c>
      <c r="Q133" s="47">
        <f t="shared" si="117"/>
        <v>0</v>
      </c>
      <c r="R133" s="47">
        <f t="shared" si="121"/>
        <v>73556000</v>
      </c>
      <c r="S133" s="79">
        <f t="shared" si="86"/>
        <v>62.327564584900927</v>
      </c>
      <c r="T133" s="79">
        <v>0</v>
      </c>
      <c r="U133" s="79">
        <v>0</v>
      </c>
      <c r="V133" s="79">
        <f t="shared" si="87"/>
        <v>62.327564584900927</v>
      </c>
      <c r="W133" s="47">
        <f t="shared" si="84"/>
        <v>44459200</v>
      </c>
      <c r="X133" s="247">
        <f t="shared" si="92"/>
        <v>73556000</v>
      </c>
      <c r="Y133" s="247">
        <f t="shared" si="90"/>
        <v>0</v>
      </c>
      <c r="Z133" s="247">
        <f t="shared" si="91"/>
        <v>0</v>
      </c>
      <c r="AA133" s="93"/>
    </row>
    <row r="134" spans="1:27">
      <c r="A134" s="44" t="s">
        <v>355</v>
      </c>
      <c r="B134" s="45" t="s">
        <v>354</v>
      </c>
      <c r="C134" s="46">
        <v>63792000</v>
      </c>
      <c r="D134" s="46">
        <v>0</v>
      </c>
      <c r="E134" s="46">
        <v>0</v>
      </c>
      <c r="F134" s="46">
        <f t="shared" si="95"/>
        <v>63792000</v>
      </c>
      <c r="G134" s="47">
        <v>39760000</v>
      </c>
      <c r="H134" s="47">
        <v>0</v>
      </c>
      <c r="I134" s="47">
        <v>0</v>
      </c>
      <c r="J134" s="47">
        <f t="shared" si="85"/>
        <v>39760000</v>
      </c>
      <c r="K134" s="47"/>
      <c r="L134" s="47"/>
      <c r="M134" s="47"/>
      <c r="N134" s="47">
        <f t="shared" si="79"/>
        <v>0</v>
      </c>
      <c r="O134" s="47">
        <f t="shared" si="120"/>
        <v>39760000</v>
      </c>
      <c r="P134" s="47">
        <f t="shared" si="116"/>
        <v>0</v>
      </c>
      <c r="Q134" s="47">
        <f t="shared" si="117"/>
        <v>0</v>
      </c>
      <c r="R134" s="47">
        <f t="shared" si="121"/>
        <v>39760000</v>
      </c>
      <c r="S134" s="79">
        <f t="shared" si="86"/>
        <v>62.327564584900927</v>
      </c>
      <c r="T134" s="79">
        <v>0</v>
      </c>
      <c r="U134" s="79">
        <v>0</v>
      </c>
      <c r="V134" s="79">
        <f t="shared" si="87"/>
        <v>62.327564584900927</v>
      </c>
      <c r="W134" s="47">
        <f t="shared" si="84"/>
        <v>24032000</v>
      </c>
      <c r="X134" s="247">
        <f t="shared" si="92"/>
        <v>39760000</v>
      </c>
      <c r="Y134" s="247">
        <f t="shared" si="90"/>
        <v>0</v>
      </c>
      <c r="Z134" s="247">
        <f t="shared" si="91"/>
        <v>0</v>
      </c>
      <c r="AA134" s="93"/>
    </row>
    <row r="135" spans="1:27">
      <c r="A135" s="44" t="s">
        <v>357</v>
      </c>
      <c r="B135" s="45" t="s">
        <v>356</v>
      </c>
      <c r="C135" s="46">
        <v>25000000</v>
      </c>
      <c r="D135" s="46">
        <v>0</v>
      </c>
      <c r="E135" s="46">
        <v>0</v>
      </c>
      <c r="F135" s="46">
        <f t="shared" si="95"/>
        <v>25000000</v>
      </c>
      <c r="G135" s="47">
        <v>0</v>
      </c>
      <c r="H135" s="47">
        <v>0</v>
      </c>
      <c r="I135" s="47">
        <v>0</v>
      </c>
      <c r="J135" s="47">
        <f t="shared" si="85"/>
        <v>0</v>
      </c>
      <c r="K135" s="47"/>
      <c r="L135" s="47"/>
      <c r="M135" s="47"/>
      <c r="N135" s="47">
        <f t="shared" si="79"/>
        <v>0</v>
      </c>
      <c r="O135" s="47">
        <f t="shared" si="120"/>
        <v>0</v>
      </c>
      <c r="P135" s="47">
        <f t="shared" si="116"/>
        <v>0</v>
      </c>
      <c r="Q135" s="47">
        <f t="shared" si="117"/>
        <v>0</v>
      </c>
      <c r="R135" s="47">
        <f t="shared" si="121"/>
        <v>0</v>
      </c>
      <c r="S135" s="79">
        <f t="shared" si="86"/>
        <v>0</v>
      </c>
      <c r="T135" s="79">
        <v>0</v>
      </c>
      <c r="U135" s="79">
        <v>0</v>
      </c>
      <c r="V135" s="79">
        <f t="shared" si="87"/>
        <v>0</v>
      </c>
      <c r="W135" s="47">
        <f t="shared" si="84"/>
        <v>25000000</v>
      </c>
      <c r="X135" s="247">
        <f t="shared" si="92"/>
        <v>0</v>
      </c>
      <c r="Y135" s="247">
        <f t="shared" si="90"/>
        <v>0</v>
      </c>
      <c r="Z135" s="247">
        <f t="shared" si="91"/>
        <v>0</v>
      </c>
      <c r="AA135" s="93"/>
    </row>
    <row r="136" spans="1:27" s="9" customFormat="1" ht="26.25" customHeight="1">
      <c r="A136" s="38" t="s">
        <v>199</v>
      </c>
      <c r="B136" s="61" t="s">
        <v>200</v>
      </c>
      <c r="C136" s="101">
        <f>C137+C141+C143</f>
        <v>1233655800</v>
      </c>
      <c r="D136" s="101">
        <f t="shared" ref="D136:M136" si="124">D137+D141+D143</f>
        <v>0</v>
      </c>
      <c r="E136" s="101">
        <f>E137+E141+E143</f>
        <v>0</v>
      </c>
      <c r="F136" s="101">
        <f t="shared" si="95"/>
        <v>1233655800</v>
      </c>
      <c r="G136" s="101">
        <f t="shared" ref="G136:I136" si="125">G137+G141+G143</f>
        <v>356006445</v>
      </c>
      <c r="H136" s="101">
        <f t="shared" si="125"/>
        <v>0</v>
      </c>
      <c r="I136" s="101">
        <f t="shared" si="125"/>
        <v>0</v>
      </c>
      <c r="J136" s="101">
        <f t="shared" si="85"/>
        <v>356006445</v>
      </c>
      <c r="K136" s="101">
        <f t="shared" si="124"/>
        <v>0</v>
      </c>
      <c r="L136" s="101">
        <f t="shared" si="124"/>
        <v>0</v>
      </c>
      <c r="M136" s="101">
        <f t="shared" si="124"/>
        <v>0</v>
      </c>
      <c r="N136" s="101">
        <f t="shared" si="79"/>
        <v>0</v>
      </c>
      <c r="O136" s="101">
        <f t="shared" si="120"/>
        <v>356006445</v>
      </c>
      <c r="P136" s="101">
        <f t="shared" si="116"/>
        <v>0</v>
      </c>
      <c r="Q136" s="101">
        <f t="shared" si="117"/>
        <v>0</v>
      </c>
      <c r="R136" s="101">
        <f t="shared" si="121"/>
        <v>356006445</v>
      </c>
      <c r="S136" s="104">
        <f t="shared" si="86"/>
        <v>28.857842276589629</v>
      </c>
      <c r="T136" s="104">
        <v>0</v>
      </c>
      <c r="U136" s="104">
        <v>0</v>
      </c>
      <c r="V136" s="104">
        <f t="shared" si="87"/>
        <v>28.857842276589629</v>
      </c>
      <c r="W136" s="101">
        <f t="shared" si="84"/>
        <v>877649355</v>
      </c>
      <c r="X136" s="247">
        <f t="shared" si="92"/>
        <v>356006445</v>
      </c>
      <c r="Y136" s="247">
        <f t="shared" si="90"/>
        <v>0</v>
      </c>
      <c r="Z136" s="247">
        <f t="shared" si="91"/>
        <v>0</v>
      </c>
      <c r="AA136" s="93"/>
    </row>
    <row r="137" spans="1:27" s="8" customFormat="1" ht="33">
      <c r="A137" s="96" t="s">
        <v>201</v>
      </c>
      <c r="B137" s="96" t="s">
        <v>202</v>
      </c>
      <c r="C137" s="60">
        <f>SUM(C138:C140)</f>
        <v>340191800</v>
      </c>
      <c r="D137" s="60">
        <f>SUM(D138:D140)</f>
        <v>0</v>
      </c>
      <c r="E137" s="60">
        <f>SUM(E138:E140)</f>
        <v>0</v>
      </c>
      <c r="F137" s="60">
        <f t="shared" si="95"/>
        <v>340191800</v>
      </c>
      <c r="G137" s="60">
        <f t="shared" ref="G137:H137" si="126">SUM(G138:G140)</f>
        <v>170057700</v>
      </c>
      <c r="H137" s="60">
        <f t="shared" si="126"/>
        <v>0</v>
      </c>
      <c r="I137" s="60">
        <f>SUM(I138:I140)</f>
        <v>0</v>
      </c>
      <c r="J137" s="60">
        <f t="shared" si="85"/>
        <v>170057700</v>
      </c>
      <c r="K137" s="60">
        <f t="shared" ref="K137:L137" si="127">SUM(K138:K140)</f>
        <v>0</v>
      </c>
      <c r="L137" s="60">
        <f t="shared" si="127"/>
        <v>0</v>
      </c>
      <c r="M137" s="60">
        <f>SUM(M138:M140)</f>
        <v>0</v>
      </c>
      <c r="N137" s="60">
        <f t="shared" si="79"/>
        <v>0</v>
      </c>
      <c r="O137" s="60">
        <f t="shared" si="120"/>
        <v>170057700</v>
      </c>
      <c r="P137" s="60">
        <f t="shared" si="116"/>
        <v>0</v>
      </c>
      <c r="Q137" s="60">
        <f t="shared" si="117"/>
        <v>0</v>
      </c>
      <c r="R137" s="60">
        <f t="shared" si="121"/>
        <v>170057700</v>
      </c>
      <c r="S137" s="84">
        <f t="shared" si="86"/>
        <v>49.988771040336658</v>
      </c>
      <c r="T137" s="84">
        <v>0</v>
      </c>
      <c r="U137" s="84">
        <v>0</v>
      </c>
      <c r="V137" s="84">
        <f t="shared" si="87"/>
        <v>49.988771040336658</v>
      </c>
      <c r="W137" s="60">
        <f t="shared" si="84"/>
        <v>170134100</v>
      </c>
      <c r="X137" s="247">
        <f t="shared" si="92"/>
        <v>170057700</v>
      </c>
      <c r="Y137" s="247">
        <f t="shared" si="90"/>
        <v>0</v>
      </c>
      <c r="Z137" s="247">
        <f t="shared" si="91"/>
        <v>0</v>
      </c>
      <c r="AA137" s="93"/>
    </row>
    <row r="138" spans="1:27">
      <c r="A138" s="44" t="s">
        <v>203</v>
      </c>
      <c r="B138" s="45" t="s">
        <v>204</v>
      </c>
      <c r="C138" s="46">
        <v>122344800</v>
      </c>
      <c r="D138" s="46">
        <v>0</v>
      </c>
      <c r="E138" s="46">
        <v>0</v>
      </c>
      <c r="F138" s="46">
        <f t="shared" si="95"/>
        <v>122344800</v>
      </c>
      <c r="G138" s="63">
        <v>57495300</v>
      </c>
      <c r="H138" s="47">
        <v>0</v>
      </c>
      <c r="I138" s="47">
        <v>0</v>
      </c>
      <c r="J138" s="47">
        <f t="shared" si="85"/>
        <v>57495300</v>
      </c>
      <c r="K138" s="63"/>
      <c r="L138" s="47"/>
      <c r="M138" s="47"/>
      <c r="N138" s="47">
        <f t="shared" si="79"/>
        <v>0</v>
      </c>
      <c r="O138" s="47">
        <f t="shared" si="120"/>
        <v>57495300</v>
      </c>
      <c r="P138" s="47">
        <f t="shared" si="116"/>
        <v>0</v>
      </c>
      <c r="Q138" s="47">
        <f t="shared" si="117"/>
        <v>0</v>
      </c>
      <c r="R138" s="47">
        <f t="shared" si="121"/>
        <v>57495300</v>
      </c>
      <c r="S138" s="79">
        <f t="shared" si="86"/>
        <v>46.994477901798845</v>
      </c>
      <c r="T138" s="79">
        <v>0</v>
      </c>
      <c r="U138" s="79">
        <v>0</v>
      </c>
      <c r="V138" s="79">
        <f t="shared" si="87"/>
        <v>46.994477901798845</v>
      </c>
      <c r="W138" s="47">
        <f t="shared" si="84"/>
        <v>64849500</v>
      </c>
      <c r="X138" s="247">
        <f t="shared" si="92"/>
        <v>57495300</v>
      </c>
      <c r="Y138" s="247">
        <f t="shared" si="90"/>
        <v>0</v>
      </c>
      <c r="Z138" s="247">
        <f t="shared" si="91"/>
        <v>0</v>
      </c>
      <c r="AA138" s="93"/>
    </row>
    <row r="139" spans="1:27">
      <c r="A139" s="44" t="s">
        <v>205</v>
      </c>
      <c r="B139" s="45" t="s">
        <v>206</v>
      </c>
      <c r="C139" s="46">
        <v>27359000</v>
      </c>
      <c r="D139" s="46">
        <v>0</v>
      </c>
      <c r="E139" s="46">
        <v>0</v>
      </c>
      <c r="F139" s="46">
        <f t="shared" si="95"/>
        <v>27359000</v>
      </c>
      <c r="G139" s="63">
        <v>4473400</v>
      </c>
      <c r="H139" s="47">
        <v>0</v>
      </c>
      <c r="I139" s="47">
        <v>0</v>
      </c>
      <c r="J139" s="47">
        <f t="shared" si="85"/>
        <v>4473400</v>
      </c>
      <c r="K139" s="63"/>
      <c r="L139" s="47"/>
      <c r="M139" s="47"/>
      <c r="N139" s="47">
        <f t="shared" si="79"/>
        <v>0</v>
      </c>
      <c r="O139" s="47">
        <f t="shared" si="120"/>
        <v>4473400</v>
      </c>
      <c r="P139" s="47">
        <f t="shared" si="116"/>
        <v>0</v>
      </c>
      <c r="Q139" s="47">
        <f t="shared" si="117"/>
        <v>0</v>
      </c>
      <c r="R139" s="47">
        <f t="shared" si="121"/>
        <v>4473400</v>
      </c>
      <c r="S139" s="79">
        <f t="shared" si="86"/>
        <v>16.350743813735882</v>
      </c>
      <c r="T139" s="79">
        <v>0</v>
      </c>
      <c r="U139" s="79">
        <v>0</v>
      </c>
      <c r="V139" s="79">
        <f t="shared" si="87"/>
        <v>16.350743813735882</v>
      </c>
      <c r="W139" s="47">
        <f t="shared" si="84"/>
        <v>22885600</v>
      </c>
      <c r="X139" s="247">
        <f t="shared" si="92"/>
        <v>4473400</v>
      </c>
      <c r="Y139" s="247">
        <f t="shared" si="90"/>
        <v>0</v>
      </c>
      <c r="Z139" s="247">
        <f t="shared" si="91"/>
        <v>0</v>
      </c>
      <c r="AA139" s="93"/>
    </row>
    <row r="140" spans="1:27" ht="33">
      <c r="A140" s="44" t="s">
        <v>477</v>
      </c>
      <c r="B140" s="45" t="s">
        <v>478</v>
      </c>
      <c r="C140" s="46">
        <v>190488000</v>
      </c>
      <c r="D140" s="46">
        <v>0</v>
      </c>
      <c r="E140" s="46">
        <v>0</v>
      </c>
      <c r="F140" s="46">
        <f t="shared" si="95"/>
        <v>190488000</v>
      </c>
      <c r="G140" s="63">
        <v>108089000</v>
      </c>
      <c r="H140" s="47">
        <v>0</v>
      </c>
      <c r="I140" s="47">
        <v>0</v>
      </c>
      <c r="J140" s="47">
        <f t="shared" si="85"/>
        <v>108089000</v>
      </c>
      <c r="K140" s="63"/>
      <c r="L140" s="47"/>
      <c r="M140" s="47"/>
      <c r="N140" s="47">
        <f t="shared" si="79"/>
        <v>0</v>
      </c>
      <c r="O140" s="47">
        <f t="shared" si="120"/>
        <v>108089000</v>
      </c>
      <c r="P140" s="47">
        <f t="shared" si="116"/>
        <v>0</v>
      </c>
      <c r="Q140" s="47">
        <f t="shared" si="117"/>
        <v>0</v>
      </c>
      <c r="R140" s="47">
        <f t="shared" si="121"/>
        <v>108089000</v>
      </c>
      <c r="S140" s="79">
        <f t="shared" si="86"/>
        <v>56.743206921170888</v>
      </c>
      <c r="T140" s="79">
        <v>0</v>
      </c>
      <c r="U140" s="79">
        <v>0</v>
      </c>
      <c r="V140" s="79">
        <f t="shared" si="87"/>
        <v>56.743206921170888</v>
      </c>
      <c r="W140" s="47">
        <f t="shared" si="84"/>
        <v>82399000</v>
      </c>
      <c r="X140" s="247">
        <f t="shared" si="92"/>
        <v>108089000</v>
      </c>
      <c r="Y140" s="247">
        <f t="shared" si="90"/>
        <v>0</v>
      </c>
      <c r="Z140" s="247">
        <f t="shared" si="91"/>
        <v>0</v>
      </c>
      <c r="AA140" s="93"/>
    </row>
    <row r="141" spans="1:27" s="8" customFormat="1">
      <c r="A141" s="96" t="s">
        <v>207</v>
      </c>
      <c r="B141" s="96" t="s">
        <v>208</v>
      </c>
      <c r="C141" s="100">
        <f t="shared" ref="C141:M141" si="128">SUM(C142:C142)</f>
        <v>723844000</v>
      </c>
      <c r="D141" s="100">
        <f t="shared" si="128"/>
        <v>0</v>
      </c>
      <c r="E141" s="100">
        <f t="shared" si="128"/>
        <v>0</v>
      </c>
      <c r="F141" s="100">
        <f t="shared" si="95"/>
        <v>723844000</v>
      </c>
      <c r="G141" s="100">
        <f t="shared" ref="G141:I141" si="129">SUM(G142:G142)</f>
        <v>133983905</v>
      </c>
      <c r="H141" s="100">
        <f t="shared" si="129"/>
        <v>0</v>
      </c>
      <c r="I141" s="100">
        <f t="shared" si="129"/>
        <v>0</v>
      </c>
      <c r="J141" s="100">
        <f t="shared" si="85"/>
        <v>133983905</v>
      </c>
      <c r="K141" s="100">
        <f t="shared" si="128"/>
        <v>0</v>
      </c>
      <c r="L141" s="100">
        <f t="shared" si="128"/>
        <v>0</v>
      </c>
      <c r="M141" s="100">
        <f t="shared" si="128"/>
        <v>0</v>
      </c>
      <c r="N141" s="100">
        <f t="shared" si="79"/>
        <v>0</v>
      </c>
      <c r="O141" s="100">
        <f t="shared" si="120"/>
        <v>133983905</v>
      </c>
      <c r="P141" s="100">
        <f t="shared" si="116"/>
        <v>0</v>
      </c>
      <c r="Q141" s="100">
        <f t="shared" si="117"/>
        <v>0</v>
      </c>
      <c r="R141" s="100">
        <f t="shared" si="121"/>
        <v>133983905</v>
      </c>
      <c r="S141" s="103">
        <f t="shared" si="86"/>
        <v>18.510052580390248</v>
      </c>
      <c r="T141" s="103">
        <v>0</v>
      </c>
      <c r="U141" s="103">
        <v>0</v>
      </c>
      <c r="V141" s="103">
        <f t="shared" si="87"/>
        <v>18.510052580390248</v>
      </c>
      <c r="W141" s="100">
        <f t="shared" si="84"/>
        <v>589860095</v>
      </c>
      <c r="X141" s="247">
        <f t="shared" si="92"/>
        <v>133983905</v>
      </c>
      <c r="Y141" s="247">
        <f t="shared" si="90"/>
        <v>0</v>
      </c>
      <c r="Z141" s="247">
        <f t="shared" si="91"/>
        <v>0</v>
      </c>
      <c r="AA141" s="93"/>
    </row>
    <row r="142" spans="1:27" ht="33">
      <c r="A142" s="97" t="s">
        <v>209</v>
      </c>
      <c r="B142" s="97" t="s">
        <v>210</v>
      </c>
      <c r="C142" s="98">
        <v>723844000</v>
      </c>
      <c r="D142" s="46">
        <v>0</v>
      </c>
      <c r="E142" s="46">
        <v>0</v>
      </c>
      <c r="F142" s="46">
        <f t="shared" si="95"/>
        <v>723844000</v>
      </c>
      <c r="G142" s="47">
        <v>133983905</v>
      </c>
      <c r="H142" s="47">
        <v>0</v>
      </c>
      <c r="I142" s="47">
        <v>0</v>
      </c>
      <c r="J142" s="47">
        <f t="shared" si="85"/>
        <v>133983905</v>
      </c>
      <c r="K142" s="47"/>
      <c r="L142" s="47"/>
      <c r="M142" s="47"/>
      <c r="N142" s="47">
        <f t="shared" si="79"/>
        <v>0</v>
      </c>
      <c r="O142" s="47">
        <f t="shared" si="120"/>
        <v>133983905</v>
      </c>
      <c r="P142" s="47">
        <f t="shared" si="116"/>
        <v>0</v>
      </c>
      <c r="Q142" s="47">
        <f t="shared" si="117"/>
        <v>0</v>
      </c>
      <c r="R142" s="47">
        <f t="shared" si="121"/>
        <v>133983905</v>
      </c>
      <c r="S142" s="79">
        <f t="shared" si="86"/>
        <v>18.510052580390248</v>
      </c>
      <c r="T142" s="79">
        <v>0</v>
      </c>
      <c r="U142" s="79">
        <v>0</v>
      </c>
      <c r="V142" s="79">
        <f t="shared" si="87"/>
        <v>18.510052580390248</v>
      </c>
      <c r="W142" s="47">
        <f t="shared" si="84"/>
        <v>589860095</v>
      </c>
      <c r="X142" s="247">
        <f t="shared" si="92"/>
        <v>133983905</v>
      </c>
      <c r="Y142" s="247">
        <f t="shared" si="90"/>
        <v>0</v>
      </c>
      <c r="Z142" s="247">
        <f t="shared" si="91"/>
        <v>0</v>
      </c>
      <c r="AA142" s="93"/>
    </row>
    <row r="143" spans="1:27" s="8" customFormat="1">
      <c r="A143" s="96" t="s">
        <v>213</v>
      </c>
      <c r="B143" s="96" t="s">
        <v>214</v>
      </c>
      <c r="C143" s="100">
        <f>SUM(C144:C147)</f>
        <v>169620000</v>
      </c>
      <c r="D143" s="100">
        <f>SUM(D144:D147)</f>
        <v>0</v>
      </c>
      <c r="E143" s="100">
        <f>SUM(E144:E147)</f>
        <v>0</v>
      </c>
      <c r="F143" s="100">
        <f t="shared" si="95"/>
        <v>169620000</v>
      </c>
      <c r="G143" s="100">
        <f t="shared" ref="G143:I143" si="130">SUM(G144:G147)</f>
        <v>51964840</v>
      </c>
      <c r="H143" s="100">
        <f t="shared" si="130"/>
        <v>0</v>
      </c>
      <c r="I143" s="100">
        <f t="shared" si="130"/>
        <v>0</v>
      </c>
      <c r="J143" s="100">
        <f t="shared" si="85"/>
        <v>51964840</v>
      </c>
      <c r="K143" s="100">
        <f t="shared" ref="K143:M143" si="131">SUM(K144:K147)</f>
        <v>0</v>
      </c>
      <c r="L143" s="100">
        <f t="shared" si="131"/>
        <v>0</v>
      </c>
      <c r="M143" s="100">
        <f t="shared" si="131"/>
        <v>0</v>
      </c>
      <c r="N143" s="100">
        <f t="shared" si="79"/>
        <v>0</v>
      </c>
      <c r="O143" s="100">
        <f t="shared" si="120"/>
        <v>51964840</v>
      </c>
      <c r="P143" s="100">
        <f t="shared" si="116"/>
        <v>0</v>
      </c>
      <c r="Q143" s="100">
        <f t="shared" si="117"/>
        <v>0</v>
      </c>
      <c r="R143" s="100">
        <f t="shared" si="121"/>
        <v>51964840</v>
      </c>
      <c r="S143" s="103">
        <f t="shared" si="86"/>
        <v>30.636033486617144</v>
      </c>
      <c r="T143" s="103">
        <v>0</v>
      </c>
      <c r="U143" s="103">
        <v>0</v>
      </c>
      <c r="V143" s="103">
        <f t="shared" si="87"/>
        <v>30.636033486617144</v>
      </c>
      <c r="W143" s="100">
        <f t="shared" si="84"/>
        <v>117655160</v>
      </c>
      <c r="X143" s="247">
        <f t="shared" si="92"/>
        <v>51964840</v>
      </c>
      <c r="Y143" s="247">
        <f t="shared" si="90"/>
        <v>0</v>
      </c>
      <c r="Z143" s="247">
        <f t="shared" si="91"/>
        <v>0</v>
      </c>
      <c r="AA143" s="93"/>
    </row>
    <row r="144" spans="1:27">
      <c r="A144" s="97" t="s">
        <v>215</v>
      </c>
      <c r="B144" s="97" t="s">
        <v>216</v>
      </c>
      <c r="C144" s="46">
        <v>13260000</v>
      </c>
      <c r="D144" s="46">
        <v>0</v>
      </c>
      <c r="E144" s="46">
        <v>0</v>
      </c>
      <c r="F144" s="46">
        <f t="shared" si="95"/>
        <v>13260000</v>
      </c>
      <c r="G144" s="48">
        <v>0</v>
      </c>
      <c r="H144" s="47">
        <v>0</v>
      </c>
      <c r="I144" s="47">
        <v>0</v>
      </c>
      <c r="J144" s="47">
        <f t="shared" si="85"/>
        <v>0</v>
      </c>
      <c r="K144" s="47"/>
      <c r="L144" s="47"/>
      <c r="M144" s="47"/>
      <c r="N144" s="47">
        <f t="shared" si="79"/>
        <v>0</v>
      </c>
      <c r="O144" s="47">
        <f t="shared" si="120"/>
        <v>0</v>
      </c>
      <c r="P144" s="47">
        <f t="shared" si="116"/>
        <v>0</v>
      </c>
      <c r="Q144" s="47">
        <f t="shared" si="117"/>
        <v>0</v>
      </c>
      <c r="R144" s="47">
        <f t="shared" si="121"/>
        <v>0</v>
      </c>
      <c r="S144" s="79">
        <f t="shared" si="86"/>
        <v>0</v>
      </c>
      <c r="T144" s="79">
        <v>0</v>
      </c>
      <c r="U144" s="79">
        <v>0</v>
      </c>
      <c r="V144" s="79">
        <f t="shared" si="87"/>
        <v>0</v>
      </c>
      <c r="W144" s="47">
        <f t="shared" si="84"/>
        <v>13260000</v>
      </c>
      <c r="X144" s="247">
        <f t="shared" si="92"/>
        <v>0</v>
      </c>
      <c r="Y144" s="247">
        <f t="shared" si="90"/>
        <v>0</v>
      </c>
      <c r="Z144" s="247">
        <f t="shared" si="91"/>
        <v>0</v>
      </c>
      <c r="AA144" s="93"/>
    </row>
    <row r="145" spans="1:27" ht="33">
      <c r="A145" s="97" t="s">
        <v>217</v>
      </c>
      <c r="B145" s="97" t="s">
        <v>218</v>
      </c>
      <c r="C145" s="46">
        <v>43920000</v>
      </c>
      <c r="D145" s="46">
        <v>0</v>
      </c>
      <c r="E145" s="46">
        <v>0</v>
      </c>
      <c r="F145" s="46">
        <f t="shared" si="95"/>
        <v>43920000</v>
      </c>
      <c r="G145" s="47">
        <v>19175250</v>
      </c>
      <c r="H145" s="47">
        <v>0</v>
      </c>
      <c r="I145" s="47">
        <v>0</v>
      </c>
      <c r="J145" s="47">
        <f t="shared" si="85"/>
        <v>19175250</v>
      </c>
      <c r="K145" s="47"/>
      <c r="L145" s="47"/>
      <c r="M145" s="47"/>
      <c r="N145" s="47">
        <f t="shared" ref="N145:N208" si="132">SUM(K145:M145)</f>
        <v>0</v>
      </c>
      <c r="O145" s="47">
        <f t="shared" si="120"/>
        <v>19175250</v>
      </c>
      <c r="P145" s="47">
        <f t="shared" si="116"/>
        <v>0</v>
      </c>
      <c r="Q145" s="47">
        <f t="shared" si="117"/>
        <v>0</v>
      </c>
      <c r="R145" s="47">
        <f t="shared" si="121"/>
        <v>19175250</v>
      </c>
      <c r="S145" s="79">
        <f t="shared" si="86"/>
        <v>43.65949453551913</v>
      </c>
      <c r="T145" s="79">
        <v>0</v>
      </c>
      <c r="U145" s="79">
        <v>0</v>
      </c>
      <c r="V145" s="79">
        <f t="shared" si="87"/>
        <v>43.65949453551913</v>
      </c>
      <c r="W145" s="47">
        <f t="shared" ref="W145:W208" si="133">F145-R145</f>
        <v>24744750</v>
      </c>
      <c r="X145" s="247">
        <f t="shared" si="92"/>
        <v>19175250</v>
      </c>
      <c r="Y145" s="247">
        <f t="shared" si="90"/>
        <v>0</v>
      </c>
      <c r="Z145" s="247">
        <f t="shared" si="91"/>
        <v>0</v>
      </c>
      <c r="AA145" s="93"/>
    </row>
    <row r="146" spans="1:27">
      <c r="A146" s="97" t="s">
        <v>219</v>
      </c>
      <c r="B146" s="97" t="s">
        <v>220</v>
      </c>
      <c r="C146" s="46">
        <v>87600000</v>
      </c>
      <c r="D146" s="46">
        <v>0</v>
      </c>
      <c r="E146" s="46">
        <v>0</v>
      </c>
      <c r="F146" s="46">
        <f t="shared" si="95"/>
        <v>87600000</v>
      </c>
      <c r="G146" s="47">
        <v>24805650</v>
      </c>
      <c r="H146" s="47">
        <v>0</v>
      </c>
      <c r="I146" s="47">
        <v>0</v>
      </c>
      <c r="J146" s="47">
        <f t="shared" ref="J146:J209" si="134">G146+H146+I146</f>
        <v>24805650</v>
      </c>
      <c r="K146" s="47"/>
      <c r="L146" s="47"/>
      <c r="M146" s="47"/>
      <c r="N146" s="47">
        <f t="shared" si="132"/>
        <v>0</v>
      </c>
      <c r="O146" s="47">
        <f t="shared" si="120"/>
        <v>24805650</v>
      </c>
      <c r="P146" s="47">
        <f t="shared" si="116"/>
        <v>0</v>
      </c>
      <c r="Q146" s="47">
        <f t="shared" si="117"/>
        <v>0</v>
      </c>
      <c r="R146" s="47">
        <f t="shared" si="121"/>
        <v>24805650</v>
      </c>
      <c r="S146" s="79">
        <f t="shared" ref="S146:S209" si="135">O146/C146*100</f>
        <v>28.31695205479452</v>
      </c>
      <c r="T146" s="79">
        <v>0</v>
      </c>
      <c r="U146" s="79">
        <v>0</v>
      </c>
      <c r="V146" s="79">
        <f t="shared" ref="V146:V209" si="136">R146/F146*100</f>
        <v>28.31695205479452</v>
      </c>
      <c r="W146" s="47">
        <f t="shared" si="133"/>
        <v>62794350</v>
      </c>
      <c r="X146" s="247">
        <f t="shared" si="92"/>
        <v>24805650</v>
      </c>
      <c r="Y146" s="247">
        <f t="shared" si="90"/>
        <v>0</v>
      </c>
      <c r="Z146" s="247">
        <f t="shared" si="91"/>
        <v>0</v>
      </c>
      <c r="AA146" s="93"/>
    </row>
    <row r="147" spans="1:27">
      <c r="A147" s="97" t="s">
        <v>221</v>
      </c>
      <c r="B147" s="97" t="s">
        <v>222</v>
      </c>
      <c r="C147" s="46">
        <v>24840000</v>
      </c>
      <c r="D147" s="46">
        <v>0</v>
      </c>
      <c r="E147" s="46">
        <v>0</v>
      </c>
      <c r="F147" s="46">
        <f t="shared" si="95"/>
        <v>24840000</v>
      </c>
      <c r="G147" s="47">
        <v>7983940</v>
      </c>
      <c r="H147" s="47">
        <v>0</v>
      </c>
      <c r="I147" s="47">
        <v>0</v>
      </c>
      <c r="J147" s="47">
        <f t="shared" si="134"/>
        <v>7983940</v>
      </c>
      <c r="K147" s="47"/>
      <c r="L147" s="47"/>
      <c r="M147" s="47"/>
      <c r="N147" s="47">
        <f t="shared" si="132"/>
        <v>0</v>
      </c>
      <c r="O147" s="47">
        <f t="shared" si="120"/>
        <v>7983940</v>
      </c>
      <c r="P147" s="47">
        <f t="shared" si="116"/>
        <v>0</v>
      </c>
      <c r="Q147" s="47">
        <f t="shared" si="117"/>
        <v>0</v>
      </c>
      <c r="R147" s="47">
        <f t="shared" si="121"/>
        <v>7983940</v>
      </c>
      <c r="S147" s="79">
        <f t="shared" si="135"/>
        <v>32.141465378421898</v>
      </c>
      <c r="T147" s="79">
        <v>0</v>
      </c>
      <c r="U147" s="79">
        <v>0</v>
      </c>
      <c r="V147" s="79">
        <f t="shared" si="136"/>
        <v>32.141465378421898</v>
      </c>
      <c r="W147" s="47">
        <f t="shared" si="133"/>
        <v>16856060</v>
      </c>
      <c r="X147" s="247">
        <f t="shared" si="92"/>
        <v>7983940</v>
      </c>
      <c r="Y147" s="247">
        <f t="shared" si="90"/>
        <v>0</v>
      </c>
      <c r="Z147" s="247">
        <f t="shared" si="91"/>
        <v>0</v>
      </c>
      <c r="AA147" s="93"/>
    </row>
    <row r="148" spans="1:27" s="10" customFormat="1" ht="18">
      <c r="A148" s="56"/>
      <c r="B148" s="57" t="s">
        <v>446</v>
      </c>
      <c r="C148" s="58">
        <f>C149+C166+C180</f>
        <v>194400000</v>
      </c>
      <c r="D148" s="58">
        <f t="shared" ref="D148:M148" si="137">D149+D166+D180</f>
        <v>0</v>
      </c>
      <c r="E148" s="58">
        <f t="shared" si="137"/>
        <v>0</v>
      </c>
      <c r="F148" s="58">
        <f t="shared" si="95"/>
        <v>194400000</v>
      </c>
      <c r="G148" s="58">
        <f t="shared" ref="G148:I148" si="138">G149+G166+G180</f>
        <v>104613950</v>
      </c>
      <c r="H148" s="58">
        <f t="shared" si="138"/>
        <v>0</v>
      </c>
      <c r="I148" s="58">
        <f t="shared" si="138"/>
        <v>0</v>
      </c>
      <c r="J148" s="58">
        <f t="shared" si="134"/>
        <v>104613950</v>
      </c>
      <c r="K148" s="58">
        <f t="shared" si="137"/>
        <v>0</v>
      </c>
      <c r="L148" s="58">
        <f t="shared" si="137"/>
        <v>0</v>
      </c>
      <c r="M148" s="58">
        <f t="shared" si="137"/>
        <v>0</v>
      </c>
      <c r="N148" s="58">
        <f t="shared" si="132"/>
        <v>0</v>
      </c>
      <c r="O148" s="58">
        <f t="shared" si="120"/>
        <v>104613950</v>
      </c>
      <c r="P148" s="58">
        <f t="shared" si="116"/>
        <v>0</v>
      </c>
      <c r="Q148" s="58">
        <f t="shared" si="117"/>
        <v>0</v>
      </c>
      <c r="R148" s="58">
        <f t="shared" si="121"/>
        <v>104613950</v>
      </c>
      <c r="S148" s="83">
        <f t="shared" si="135"/>
        <v>53.813760288065851</v>
      </c>
      <c r="T148" s="83">
        <v>0</v>
      </c>
      <c r="U148" s="83">
        <v>0</v>
      </c>
      <c r="V148" s="83">
        <f t="shared" si="136"/>
        <v>53.813760288065851</v>
      </c>
      <c r="W148" s="58">
        <f t="shared" si="133"/>
        <v>89786050</v>
      </c>
      <c r="X148" s="247">
        <f t="shared" si="92"/>
        <v>104613950</v>
      </c>
      <c r="Y148" s="247">
        <f t="shared" si="90"/>
        <v>0</v>
      </c>
      <c r="Z148" s="247">
        <f t="shared" si="91"/>
        <v>0</v>
      </c>
      <c r="AA148" s="93"/>
    </row>
    <row r="149" spans="1:27" s="4" customFormat="1" ht="21" customHeight="1">
      <c r="A149" s="38" t="s">
        <v>37</v>
      </c>
      <c r="B149" s="105" t="s">
        <v>38</v>
      </c>
      <c r="C149" s="40">
        <f>C150+C155+C158+C162</f>
        <v>63550000</v>
      </c>
      <c r="D149" s="40">
        <f>D150+D155+D158+D162</f>
        <v>0</v>
      </c>
      <c r="E149" s="40">
        <f>E150+E155+E158+E162</f>
        <v>0</v>
      </c>
      <c r="F149" s="40">
        <f t="shared" si="95"/>
        <v>63550000</v>
      </c>
      <c r="G149" s="40">
        <f t="shared" ref="G149:I149" si="139">G150+G155+G158+G162</f>
        <v>32735950</v>
      </c>
      <c r="H149" s="40">
        <f t="shared" si="139"/>
        <v>0</v>
      </c>
      <c r="I149" s="40">
        <f t="shared" si="139"/>
        <v>0</v>
      </c>
      <c r="J149" s="40">
        <f t="shared" si="134"/>
        <v>32735950</v>
      </c>
      <c r="K149" s="40">
        <f t="shared" ref="K149:M149" si="140">K150+K155+K158+K162</f>
        <v>0</v>
      </c>
      <c r="L149" s="40">
        <f t="shared" si="140"/>
        <v>0</v>
      </c>
      <c r="M149" s="40">
        <f t="shared" si="140"/>
        <v>0</v>
      </c>
      <c r="N149" s="40">
        <f t="shared" si="132"/>
        <v>0</v>
      </c>
      <c r="O149" s="40">
        <f t="shared" si="120"/>
        <v>32735950</v>
      </c>
      <c r="P149" s="40">
        <f t="shared" si="116"/>
        <v>0</v>
      </c>
      <c r="Q149" s="40">
        <f t="shared" si="117"/>
        <v>0</v>
      </c>
      <c r="R149" s="40">
        <f t="shared" si="121"/>
        <v>32735950</v>
      </c>
      <c r="S149" s="77">
        <f t="shared" si="135"/>
        <v>51.512116443745079</v>
      </c>
      <c r="T149" s="77">
        <v>0</v>
      </c>
      <c r="U149" s="77">
        <v>0</v>
      </c>
      <c r="V149" s="77">
        <f t="shared" si="136"/>
        <v>51.512116443745079</v>
      </c>
      <c r="W149" s="40">
        <f t="shared" si="133"/>
        <v>30814050</v>
      </c>
      <c r="X149" s="247">
        <f t="shared" si="92"/>
        <v>32735950</v>
      </c>
      <c r="Y149" s="247">
        <f t="shared" si="90"/>
        <v>0</v>
      </c>
      <c r="Z149" s="247">
        <f t="shared" si="91"/>
        <v>0</v>
      </c>
      <c r="AA149" s="93"/>
    </row>
    <row r="150" spans="1:27" s="5" customFormat="1">
      <c r="A150" s="96" t="s">
        <v>448</v>
      </c>
      <c r="B150" s="96" t="s">
        <v>447</v>
      </c>
      <c r="C150" s="60">
        <f>SUM(C151:C154)</f>
        <v>9550000</v>
      </c>
      <c r="D150" s="60">
        <f>SUM(D151:D154)</f>
        <v>0</v>
      </c>
      <c r="E150" s="60">
        <f>SUM(E151:E154)</f>
        <v>0</v>
      </c>
      <c r="F150" s="60">
        <f t="shared" si="95"/>
        <v>9550000</v>
      </c>
      <c r="G150" s="60">
        <f>SUM(G151:G154)</f>
        <v>4831000</v>
      </c>
      <c r="H150" s="60">
        <f t="shared" ref="H150:I150" si="141">SUM(H151:H154)</f>
        <v>0</v>
      </c>
      <c r="I150" s="60">
        <f t="shared" si="141"/>
        <v>0</v>
      </c>
      <c r="J150" s="60">
        <f t="shared" si="134"/>
        <v>4831000</v>
      </c>
      <c r="K150" s="60">
        <f t="shared" ref="K150:M150" si="142">SUM(K151:K154)</f>
        <v>0</v>
      </c>
      <c r="L150" s="60">
        <f t="shared" si="142"/>
        <v>0</v>
      </c>
      <c r="M150" s="60">
        <f t="shared" si="142"/>
        <v>0</v>
      </c>
      <c r="N150" s="60">
        <f t="shared" si="132"/>
        <v>0</v>
      </c>
      <c r="O150" s="60">
        <f t="shared" si="120"/>
        <v>4831000</v>
      </c>
      <c r="P150" s="60">
        <f t="shared" si="116"/>
        <v>0</v>
      </c>
      <c r="Q150" s="60">
        <f t="shared" si="117"/>
        <v>0</v>
      </c>
      <c r="R150" s="60">
        <f t="shared" si="121"/>
        <v>4831000</v>
      </c>
      <c r="S150" s="84">
        <f t="shared" si="135"/>
        <v>50.586387434554972</v>
      </c>
      <c r="T150" s="84">
        <v>0</v>
      </c>
      <c r="U150" s="84">
        <v>0</v>
      </c>
      <c r="V150" s="84">
        <f t="shared" si="136"/>
        <v>50.586387434554972</v>
      </c>
      <c r="W150" s="60">
        <f t="shared" si="133"/>
        <v>4719000</v>
      </c>
      <c r="X150" s="247">
        <f t="shared" si="92"/>
        <v>4831000</v>
      </c>
      <c r="Y150" s="247">
        <f t="shared" ref="Y150:Y213" si="143">H150+L150</f>
        <v>0</v>
      </c>
      <c r="Z150" s="247">
        <f t="shared" ref="Z150:Z213" si="144">I150+M150</f>
        <v>0</v>
      </c>
      <c r="AA150" s="93"/>
    </row>
    <row r="151" spans="1:27">
      <c r="A151" s="97" t="s">
        <v>110</v>
      </c>
      <c r="B151" s="97" t="s">
        <v>391</v>
      </c>
      <c r="C151" s="46">
        <v>100</v>
      </c>
      <c r="D151" s="46">
        <v>0</v>
      </c>
      <c r="E151" s="46">
        <v>0</v>
      </c>
      <c r="F151" s="46">
        <f t="shared" si="95"/>
        <v>100</v>
      </c>
      <c r="G151" s="48">
        <v>0</v>
      </c>
      <c r="H151" s="47">
        <v>0</v>
      </c>
      <c r="I151" s="47">
        <v>0</v>
      </c>
      <c r="J151" s="47">
        <f t="shared" si="134"/>
        <v>0</v>
      </c>
      <c r="K151" s="47"/>
      <c r="L151" s="47"/>
      <c r="M151" s="47"/>
      <c r="N151" s="47">
        <f t="shared" si="132"/>
        <v>0</v>
      </c>
      <c r="O151" s="47">
        <f t="shared" si="120"/>
        <v>0</v>
      </c>
      <c r="P151" s="47">
        <f t="shared" si="116"/>
        <v>0</v>
      </c>
      <c r="Q151" s="47">
        <f t="shared" si="117"/>
        <v>0</v>
      </c>
      <c r="R151" s="47">
        <f t="shared" si="121"/>
        <v>0</v>
      </c>
      <c r="S151" s="79">
        <f t="shared" si="135"/>
        <v>0</v>
      </c>
      <c r="T151" s="79">
        <v>0</v>
      </c>
      <c r="U151" s="79">
        <v>0</v>
      </c>
      <c r="V151" s="79">
        <f t="shared" si="136"/>
        <v>0</v>
      </c>
      <c r="W151" s="47">
        <f t="shared" si="133"/>
        <v>100</v>
      </c>
      <c r="X151" s="247">
        <f t="shared" ref="X151:X214" si="145">G151+K151</f>
        <v>0</v>
      </c>
      <c r="Y151" s="247">
        <f t="shared" si="143"/>
        <v>0</v>
      </c>
      <c r="Z151" s="247">
        <f t="shared" si="144"/>
        <v>0</v>
      </c>
      <c r="AA151" s="93"/>
    </row>
    <row r="152" spans="1:27">
      <c r="A152" s="97" t="s">
        <v>373</v>
      </c>
      <c r="B152" s="97" t="s">
        <v>374</v>
      </c>
      <c r="C152" s="46">
        <v>859200</v>
      </c>
      <c r="D152" s="46">
        <v>0</v>
      </c>
      <c r="E152" s="46">
        <v>0</v>
      </c>
      <c r="F152" s="46">
        <f t="shared" si="95"/>
        <v>859200</v>
      </c>
      <c r="G152" s="48">
        <v>850000</v>
      </c>
      <c r="H152" s="47">
        <v>0</v>
      </c>
      <c r="I152" s="47">
        <v>0</v>
      </c>
      <c r="J152" s="47">
        <f t="shared" si="134"/>
        <v>850000</v>
      </c>
      <c r="K152" s="47"/>
      <c r="L152" s="47"/>
      <c r="M152" s="47"/>
      <c r="N152" s="47">
        <f t="shared" si="132"/>
        <v>0</v>
      </c>
      <c r="O152" s="47">
        <f t="shared" si="120"/>
        <v>850000</v>
      </c>
      <c r="P152" s="47">
        <f t="shared" si="116"/>
        <v>0</v>
      </c>
      <c r="Q152" s="47">
        <f t="shared" si="117"/>
        <v>0</v>
      </c>
      <c r="R152" s="47">
        <f t="shared" si="121"/>
        <v>850000</v>
      </c>
      <c r="S152" s="79">
        <f t="shared" si="135"/>
        <v>98.929236499068907</v>
      </c>
      <c r="T152" s="79">
        <v>0</v>
      </c>
      <c r="U152" s="79">
        <v>0</v>
      </c>
      <c r="V152" s="79">
        <f t="shared" si="136"/>
        <v>98.929236499068907</v>
      </c>
      <c r="W152" s="47">
        <f t="shared" si="133"/>
        <v>9200</v>
      </c>
      <c r="X152" s="247">
        <f t="shared" si="145"/>
        <v>850000</v>
      </c>
      <c r="Y152" s="247">
        <f t="shared" si="143"/>
        <v>0</v>
      </c>
      <c r="Z152" s="247">
        <f t="shared" si="144"/>
        <v>0</v>
      </c>
      <c r="AA152" s="93"/>
    </row>
    <row r="153" spans="1:27">
      <c r="A153" s="97" t="s">
        <v>112</v>
      </c>
      <c r="B153" s="97" t="s">
        <v>439</v>
      </c>
      <c r="C153" s="46">
        <v>290700</v>
      </c>
      <c r="D153" s="46">
        <v>0</v>
      </c>
      <c r="E153" s="46">
        <v>0</v>
      </c>
      <c r="F153" s="46">
        <f t="shared" ref="F153:F216" si="146">C153+D153+E153</f>
        <v>290700</v>
      </c>
      <c r="G153" s="48">
        <v>290500</v>
      </c>
      <c r="H153" s="47">
        <v>0</v>
      </c>
      <c r="I153" s="47">
        <v>0</v>
      </c>
      <c r="J153" s="47">
        <f t="shared" si="134"/>
        <v>290500</v>
      </c>
      <c r="K153" s="47"/>
      <c r="L153" s="47"/>
      <c r="M153" s="47"/>
      <c r="N153" s="47">
        <f t="shared" si="132"/>
        <v>0</v>
      </c>
      <c r="O153" s="47">
        <f t="shared" si="120"/>
        <v>290500</v>
      </c>
      <c r="P153" s="47">
        <f t="shared" si="116"/>
        <v>0</v>
      </c>
      <c r="Q153" s="47">
        <f t="shared" si="117"/>
        <v>0</v>
      </c>
      <c r="R153" s="47">
        <f t="shared" si="121"/>
        <v>290500</v>
      </c>
      <c r="S153" s="79">
        <f t="shared" si="135"/>
        <v>99.931200550395587</v>
      </c>
      <c r="T153" s="79">
        <v>0</v>
      </c>
      <c r="U153" s="79">
        <v>0</v>
      </c>
      <c r="V153" s="79">
        <f t="shared" si="136"/>
        <v>99.931200550395587</v>
      </c>
      <c r="W153" s="47">
        <f t="shared" si="133"/>
        <v>200</v>
      </c>
      <c r="X153" s="247">
        <f t="shared" si="145"/>
        <v>290500</v>
      </c>
      <c r="Y153" s="247">
        <f t="shared" si="143"/>
        <v>0</v>
      </c>
      <c r="Z153" s="247">
        <f t="shared" si="144"/>
        <v>0</v>
      </c>
      <c r="AA153" s="93"/>
    </row>
    <row r="154" spans="1:27">
      <c r="A154" s="97" t="s">
        <v>278</v>
      </c>
      <c r="B154" s="97" t="s">
        <v>441</v>
      </c>
      <c r="C154" s="46">
        <v>8400000</v>
      </c>
      <c r="D154" s="46">
        <v>0</v>
      </c>
      <c r="E154" s="46">
        <v>0</v>
      </c>
      <c r="F154" s="46">
        <f t="shared" si="146"/>
        <v>8400000</v>
      </c>
      <c r="G154" s="48">
        <v>3690500</v>
      </c>
      <c r="H154" s="47">
        <v>0</v>
      </c>
      <c r="I154" s="47">
        <v>0</v>
      </c>
      <c r="J154" s="47">
        <f t="shared" si="134"/>
        <v>3690500</v>
      </c>
      <c r="K154" s="47"/>
      <c r="L154" s="47"/>
      <c r="M154" s="47"/>
      <c r="N154" s="47">
        <f t="shared" si="132"/>
        <v>0</v>
      </c>
      <c r="O154" s="47">
        <f t="shared" si="120"/>
        <v>3690500</v>
      </c>
      <c r="P154" s="47">
        <f t="shared" si="116"/>
        <v>0</v>
      </c>
      <c r="Q154" s="47">
        <f t="shared" si="117"/>
        <v>0</v>
      </c>
      <c r="R154" s="47">
        <f t="shared" si="121"/>
        <v>3690500</v>
      </c>
      <c r="S154" s="79">
        <f t="shared" si="135"/>
        <v>43.93452380952381</v>
      </c>
      <c r="T154" s="79">
        <v>0</v>
      </c>
      <c r="U154" s="79">
        <v>0</v>
      </c>
      <c r="V154" s="79">
        <f t="shared" si="136"/>
        <v>43.93452380952381</v>
      </c>
      <c r="W154" s="47">
        <f t="shared" si="133"/>
        <v>4709500</v>
      </c>
      <c r="X154" s="247">
        <f t="shared" si="145"/>
        <v>3690500</v>
      </c>
      <c r="Y154" s="247">
        <f t="shared" si="143"/>
        <v>0</v>
      </c>
      <c r="Z154" s="247">
        <f t="shared" si="144"/>
        <v>0</v>
      </c>
      <c r="AA154" s="93"/>
    </row>
    <row r="155" spans="1:27" s="5" customFormat="1">
      <c r="A155" s="96" t="s">
        <v>450</v>
      </c>
      <c r="B155" s="96" t="s">
        <v>449</v>
      </c>
      <c r="C155" s="60">
        <f>SUM(C156:C157)</f>
        <v>225000</v>
      </c>
      <c r="D155" s="60">
        <f>SUM(D156:D157)</f>
        <v>0</v>
      </c>
      <c r="E155" s="60">
        <f>SUM(E156:E157)</f>
        <v>0</v>
      </c>
      <c r="F155" s="60">
        <f t="shared" si="146"/>
        <v>225000</v>
      </c>
      <c r="G155" s="60">
        <f>SUM(G156:G157)</f>
        <v>221300</v>
      </c>
      <c r="H155" s="60">
        <f t="shared" ref="H155:I155" si="147">SUM(H156:H157)</f>
        <v>0</v>
      </c>
      <c r="I155" s="60">
        <f t="shared" si="147"/>
        <v>0</v>
      </c>
      <c r="J155" s="60">
        <f t="shared" si="134"/>
        <v>221300</v>
      </c>
      <c r="K155" s="60">
        <f t="shared" ref="K155:M155" si="148">SUM(K156:K157)</f>
        <v>0</v>
      </c>
      <c r="L155" s="60">
        <f t="shared" si="148"/>
        <v>0</v>
      </c>
      <c r="M155" s="60">
        <f t="shared" si="148"/>
        <v>0</v>
      </c>
      <c r="N155" s="60">
        <f t="shared" si="132"/>
        <v>0</v>
      </c>
      <c r="O155" s="60">
        <f t="shared" si="120"/>
        <v>221300</v>
      </c>
      <c r="P155" s="60">
        <f t="shared" si="116"/>
        <v>0</v>
      </c>
      <c r="Q155" s="60">
        <f t="shared" si="117"/>
        <v>0</v>
      </c>
      <c r="R155" s="60">
        <f t="shared" si="121"/>
        <v>221300</v>
      </c>
      <c r="S155" s="84">
        <f t="shared" si="135"/>
        <v>98.355555555555554</v>
      </c>
      <c r="T155" s="84">
        <v>0</v>
      </c>
      <c r="U155" s="84">
        <v>0</v>
      </c>
      <c r="V155" s="84">
        <f t="shared" si="136"/>
        <v>98.355555555555554</v>
      </c>
      <c r="W155" s="60">
        <f t="shared" si="133"/>
        <v>3700</v>
      </c>
      <c r="X155" s="247">
        <f t="shared" si="145"/>
        <v>221300</v>
      </c>
      <c r="Y155" s="247">
        <f t="shared" si="143"/>
        <v>0</v>
      </c>
      <c r="Z155" s="247">
        <f t="shared" si="144"/>
        <v>0</v>
      </c>
      <c r="AA155" s="93"/>
    </row>
    <row r="156" spans="1:27">
      <c r="A156" s="97" t="s">
        <v>110</v>
      </c>
      <c r="B156" s="97" t="s">
        <v>391</v>
      </c>
      <c r="C156" s="46">
        <v>360</v>
      </c>
      <c r="D156" s="46">
        <v>0</v>
      </c>
      <c r="E156" s="46">
        <v>0</v>
      </c>
      <c r="F156" s="46">
        <f t="shared" si="146"/>
        <v>360</v>
      </c>
      <c r="G156" s="48">
        <v>0</v>
      </c>
      <c r="H156" s="47">
        <v>0</v>
      </c>
      <c r="I156" s="47">
        <v>0</v>
      </c>
      <c r="J156" s="47">
        <f t="shared" si="134"/>
        <v>0</v>
      </c>
      <c r="K156" s="47"/>
      <c r="L156" s="47"/>
      <c r="M156" s="47"/>
      <c r="N156" s="47">
        <f t="shared" si="132"/>
        <v>0</v>
      </c>
      <c r="O156" s="47">
        <f t="shared" si="120"/>
        <v>0</v>
      </c>
      <c r="P156" s="47">
        <f t="shared" si="116"/>
        <v>0</v>
      </c>
      <c r="Q156" s="47">
        <f t="shared" si="117"/>
        <v>0</v>
      </c>
      <c r="R156" s="47">
        <f t="shared" si="121"/>
        <v>0</v>
      </c>
      <c r="S156" s="79">
        <f t="shared" si="135"/>
        <v>0</v>
      </c>
      <c r="T156" s="79">
        <v>0</v>
      </c>
      <c r="U156" s="79">
        <v>0</v>
      </c>
      <c r="V156" s="79">
        <f t="shared" si="136"/>
        <v>0</v>
      </c>
      <c r="W156" s="47">
        <f t="shared" si="133"/>
        <v>360</v>
      </c>
      <c r="X156" s="247">
        <f t="shared" si="145"/>
        <v>0</v>
      </c>
      <c r="Y156" s="247">
        <f t="shared" si="143"/>
        <v>0</v>
      </c>
      <c r="Z156" s="247">
        <f t="shared" si="144"/>
        <v>0</v>
      </c>
      <c r="AA156" s="93"/>
    </row>
    <row r="157" spans="1:27">
      <c r="A157" s="97" t="s">
        <v>112</v>
      </c>
      <c r="B157" s="97" t="s">
        <v>439</v>
      </c>
      <c r="C157" s="46">
        <v>224640</v>
      </c>
      <c r="D157" s="46">
        <v>0</v>
      </c>
      <c r="E157" s="46">
        <v>0</v>
      </c>
      <c r="F157" s="46">
        <f t="shared" si="146"/>
        <v>224640</v>
      </c>
      <c r="G157" s="48">
        <v>221300</v>
      </c>
      <c r="H157" s="47">
        <v>0</v>
      </c>
      <c r="I157" s="47">
        <v>0</v>
      </c>
      <c r="J157" s="47">
        <f t="shared" si="134"/>
        <v>221300</v>
      </c>
      <c r="K157" s="47"/>
      <c r="L157" s="47"/>
      <c r="M157" s="47"/>
      <c r="N157" s="47">
        <f t="shared" si="132"/>
        <v>0</v>
      </c>
      <c r="O157" s="47">
        <f t="shared" si="120"/>
        <v>221300</v>
      </c>
      <c r="P157" s="47">
        <f t="shared" si="116"/>
        <v>0</v>
      </c>
      <c r="Q157" s="47">
        <f t="shared" si="117"/>
        <v>0</v>
      </c>
      <c r="R157" s="47">
        <f t="shared" si="121"/>
        <v>221300</v>
      </c>
      <c r="S157" s="79">
        <f t="shared" si="135"/>
        <v>98.513176638176631</v>
      </c>
      <c r="T157" s="79">
        <v>0</v>
      </c>
      <c r="U157" s="79">
        <v>0</v>
      </c>
      <c r="V157" s="79">
        <f t="shared" si="136"/>
        <v>98.513176638176631</v>
      </c>
      <c r="W157" s="47">
        <f t="shared" si="133"/>
        <v>3340</v>
      </c>
      <c r="X157" s="247">
        <f t="shared" si="145"/>
        <v>221300</v>
      </c>
      <c r="Y157" s="247">
        <f t="shared" si="143"/>
        <v>0</v>
      </c>
      <c r="Z157" s="247">
        <f t="shared" si="144"/>
        <v>0</v>
      </c>
      <c r="AA157" s="93"/>
    </row>
    <row r="158" spans="1:27" s="5" customFormat="1">
      <c r="A158" s="96" t="s">
        <v>451</v>
      </c>
      <c r="B158" s="96" t="s">
        <v>452</v>
      </c>
      <c r="C158" s="60">
        <f>SUM(C159:C161)</f>
        <v>27350000</v>
      </c>
      <c r="D158" s="60">
        <f>SUM(D159:D161)</f>
        <v>0</v>
      </c>
      <c r="E158" s="60">
        <f>SUM(E159:E161)</f>
        <v>0</v>
      </c>
      <c r="F158" s="60">
        <f t="shared" si="146"/>
        <v>27350000</v>
      </c>
      <c r="G158" s="60">
        <f t="shared" ref="G158:I158" si="149">SUM(G159:G161)</f>
        <v>10945000</v>
      </c>
      <c r="H158" s="60">
        <f t="shared" si="149"/>
        <v>0</v>
      </c>
      <c r="I158" s="60">
        <f t="shared" si="149"/>
        <v>0</v>
      </c>
      <c r="J158" s="60">
        <f t="shared" si="134"/>
        <v>10945000</v>
      </c>
      <c r="K158" s="60">
        <f t="shared" ref="K158:M158" si="150">SUM(K159:K161)</f>
        <v>0</v>
      </c>
      <c r="L158" s="60">
        <f t="shared" si="150"/>
        <v>0</v>
      </c>
      <c r="M158" s="60">
        <f t="shared" si="150"/>
        <v>0</v>
      </c>
      <c r="N158" s="60">
        <f t="shared" si="132"/>
        <v>0</v>
      </c>
      <c r="O158" s="60">
        <f t="shared" si="120"/>
        <v>10945000</v>
      </c>
      <c r="P158" s="60">
        <f t="shared" si="116"/>
        <v>0</v>
      </c>
      <c r="Q158" s="60">
        <f t="shared" si="117"/>
        <v>0</v>
      </c>
      <c r="R158" s="60">
        <f t="shared" si="121"/>
        <v>10945000</v>
      </c>
      <c r="S158" s="84">
        <f t="shared" si="135"/>
        <v>40.018281535648995</v>
      </c>
      <c r="T158" s="84">
        <v>0</v>
      </c>
      <c r="U158" s="84">
        <v>0</v>
      </c>
      <c r="V158" s="84">
        <f t="shared" si="136"/>
        <v>40.018281535648995</v>
      </c>
      <c r="W158" s="60">
        <f t="shared" si="133"/>
        <v>16405000</v>
      </c>
      <c r="X158" s="247">
        <f t="shared" si="145"/>
        <v>10945000</v>
      </c>
      <c r="Y158" s="247">
        <f t="shared" si="143"/>
        <v>0</v>
      </c>
      <c r="Z158" s="247">
        <f t="shared" si="144"/>
        <v>0</v>
      </c>
      <c r="AA158" s="93"/>
    </row>
    <row r="159" spans="1:27">
      <c r="A159" s="97" t="s">
        <v>110</v>
      </c>
      <c r="B159" s="97" t="s">
        <v>391</v>
      </c>
      <c r="C159" s="46">
        <v>20</v>
      </c>
      <c r="D159" s="46">
        <v>0</v>
      </c>
      <c r="E159" s="46">
        <v>0</v>
      </c>
      <c r="F159" s="46">
        <f t="shared" si="146"/>
        <v>20</v>
      </c>
      <c r="G159" s="48">
        <v>0</v>
      </c>
      <c r="H159" s="47">
        <v>0</v>
      </c>
      <c r="I159" s="47">
        <v>0</v>
      </c>
      <c r="J159" s="47">
        <f t="shared" si="134"/>
        <v>0</v>
      </c>
      <c r="K159" s="47"/>
      <c r="L159" s="47"/>
      <c r="M159" s="47"/>
      <c r="N159" s="47">
        <f t="shared" si="132"/>
        <v>0</v>
      </c>
      <c r="O159" s="47">
        <f t="shared" si="120"/>
        <v>0</v>
      </c>
      <c r="P159" s="47">
        <f t="shared" si="116"/>
        <v>0</v>
      </c>
      <c r="Q159" s="47">
        <f t="shared" si="117"/>
        <v>0</v>
      </c>
      <c r="R159" s="47">
        <f t="shared" si="121"/>
        <v>0</v>
      </c>
      <c r="S159" s="79">
        <f t="shared" si="135"/>
        <v>0</v>
      </c>
      <c r="T159" s="79">
        <v>0</v>
      </c>
      <c r="U159" s="79">
        <v>0</v>
      </c>
      <c r="V159" s="79">
        <f t="shared" si="136"/>
        <v>0</v>
      </c>
      <c r="W159" s="47">
        <f t="shared" si="133"/>
        <v>20</v>
      </c>
      <c r="X159" s="247">
        <f t="shared" si="145"/>
        <v>0</v>
      </c>
      <c r="Y159" s="247">
        <f t="shared" si="143"/>
        <v>0</v>
      </c>
      <c r="Z159" s="247">
        <f t="shared" si="144"/>
        <v>0</v>
      </c>
      <c r="AA159" s="93"/>
    </row>
    <row r="160" spans="1:27">
      <c r="A160" s="97" t="s">
        <v>112</v>
      </c>
      <c r="B160" s="97" t="s">
        <v>439</v>
      </c>
      <c r="C160" s="46">
        <v>949980</v>
      </c>
      <c r="D160" s="46">
        <v>0</v>
      </c>
      <c r="E160" s="46">
        <v>0</v>
      </c>
      <c r="F160" s="46">
        <f t="shared" si="146"/>
        <v>949980</v>
      </c>
      <c r="G160" s="48">
        <v>0</v>
      </c>
      <c r="H160" s="47">
        <v>0</v>
      </c>
      <c r="I160" s="47">
        <v>0</v>
      </c>
      <c r="J160" s="47">
        <f t="shared" si="134"/>
        <v>0</v>
      </c>
      <c r="K160" s="47"/>
      <c r="L160" s="47"/>
      <c r="M160" s="47"/>
      <c r="N160" s="47">
        <f t="shared" si="132"/>
        <v>0</v>
      </c>
      <c r="O160" s="47">
        <f t="shared" si="120"/>
        <v>0</v>
      </c>
      <c r="P160" s="47">
        <f t="shared" si="116"/>
        <v>0</v>
      </c>
      <c r="Q160" s="47">
        <f t="shared" si="117"/>
        <v>0</v>
      </c>
      <c r="R160" s="47">
        <f t="shared" si="121"/>
        <v>0</v>
      </c>
      <c r="S160" s="79">
        <f t="shared" si="135"/>
        <v>0</v>
      </c>
      <c r="T160" s="79">
        <v>0</v>
      </c>
      <c r="U160" s="79">
        <v>0</v>
      </c>
      <c r="V160" s="79">
        <f t="shared" si="136"/>
        <v>0</v>
      </c>
      <c r="W160" s="47">
        <f t="shared" si="133"/>
        <v>949980</v>
      </c>
      <c r="X160" s="247">
        <f t="shared" si="145"/>
        <v>0</v>
      </c>
      <c r="Y160" s="247">
        <f t="shared" si="143"/>
        <v>0</v>
      </c>
      <c r="Z160" s="247">
        <f t="shared" si="144"/>
        <v>0</v>
      </c>
      <c r="AA160" s="93"/>
    </row>
    <row r="161" spans="1:27">
      <c r="A161" s="97" t="s">
        <v>278</v>
      </c>
      <c r="B161" s="97" t="s">
        <v>441</v>
      </c>
      <c r="C161" s="46">
        <v>26400000</v>
      </c>
      <c r="D161" s="46">
        <v>0</v>
      </c>
      <c r="E161" s="46">
        <v>0</v>
      </c>
      <c r="F161" s="46">
        <f t="shared" si="146"/>
        <v>26400000</v>
      </c>
      <c r="G161" s="47">
        <v>10945000</v>
      </c>
      <c r="H161" s="47">
        <v>0</v>
      </c>
      <c r="I161" s="47">
        <v>0</v>
      </c>
      <c r="J161" s="47">
        <f t="shared" si="134"/>
        <v>10945000</v>
      </c>
      <c r="K161" s="47"/>
      <c r="L161" s="47"/>
      <c r="M161" s="47"/>
      <c r="N161" s="47">
        <f t="shared" si="132"/>
        <v>0</v>
      </c>
      <c r="O161" s="47">
        <f t="shared" si="120"/>
        <v>10945000</v>
      </c>
      <c r="P161" s="47">
        <f t="shared" si="116"/>
        <v>0</v>
      </c>
      <c r="Q161" s="47">
        <f t="shared" si="117"/>
        <v>0</v>
      </c>
      <c r="R161" s="47">
        <f t="shared" si="121"/>
        <v>10945000</v>
      </c>
      <c r="S161" s="79">
        <f t="shared" si="135"/>
        <v>41.458333333333336</v>
      </c>
      <c r="T161" s="79">
        <v>0</v>
      </c>
      <c r="U161" s="79">
        <v>0</v>
      </c>
      <c r="V161" s="79">
        <f t="shared" si="136"/>
        <v>41.458333333333336</v>
      </c>
      <c r="W161" s="47">
        <f t="shared" si="133"/>
        <v>15455000</v>
      </c>
      <c r="X161" s="247">
        <f t="shared" si="145"/>
        <v>10945000</v>
      </c>
      <c r="Y161" s="247">
        <f t="shared" si="143"/>
        <v>0</v>
      </c>
      <c r="Z161" s="247">
        <f t="shared" si="144"/>
        <v>0</v>
      </c>
      <c r="AA161" s="93"/>
    </row>
    <row r="162" spans="1:27" s="5" customFormat="1">
      <c r="A162" s="96" t="s">
        <v>453</v>
      </c>
      <c r="B162" s="96" t="s">
        <v>454</v>
      </c>
      <c r="C162" s="60">
        <f>SUM(C163:C165)</f>
        <v>26425000</v>
      </c>
      <c r="D162" s="60">
        <f>SUM(D163:D165)</f>
        <v>0</v>
      </c>
      <c r="E162" s="60">
        <f>SUM(E163:E165)</f>
        <v>0</v>
      </c>
      <c r="F162" s="60">
        <f t="shared" si="146"/>
        <v>26425000</v>
      </c>
      <c r="G162" s="60">
        <f t="shared" ref="G162:I162" si="151">SUM(G163:G165)</f>
        <v>16738650</v>
      </c>
      <c r="H162" s="60">
        <f t="shared" si="151"/>
        <v>0</v>
      </c>
      <c r="I162" s="60">
        <f t="shared" si="151"/>
        <v>0</v>
      </c>
      <c r="J162" s="60">
        <f t="shared" si="134"/>
        <v>16738650</v>
      </c>
      <c r="K162" s="60">
        <f t="shared" ref="K162:M162" si="152">SUM(K163:K165)</f>
        <v>0</v>
      </c>
      <c r="L162" s="60">
        <f t="shared" si="152"/>
        <v>0</v>
      </c>
      <c r="M162" s="60">
        <f t="shared" si="152"/>
        <v>0</v>
      </c>
      <c r="N162" s="60">
        <f t="shared" si="132"/>
        <v>0</v>
      </c>
      <c r="O162" s="60">
        <f t="shared" si="120"/>
        <v>16738650</v>
      </c>
      <c r="P162" s="60">
        <f t="shared" si="116"/>
        <v>0</v>
      </c>
      <c r="Q162" s="60">
        <f t="shared" si="117"/>
        <v>0</v>
      </c>
      <c r="R162" s="60">
        <f t="shared" si="121"/>
        <v>16738650</v>
      </c>
      <c r="S162" s="84">
        <f t="shared" si="135"/>
        <v>63.343992431409646</v>
      </c>
      <c r="T162" s="84">
        <v>0</v>
      </c>
      <c r="U162" s="84">
        <v>0</v>
      </c>
      <c r="V162" s="84">
        <f t="shared" si="136"/>
        <v>63.343992431409646</v>
      </c>
      <c r="W162" s="60">
        <f t="shared" si="133"/>
        <v>9686350</v>
      </c>
      <c r="X162" s="247">
        <f t="shared" si="145"/>
        <v>16738650</v>
      </c>
      <c r="Y162" s="247">
        <f t="shared" si="143"/>
        <v>0</v>
      </c>
      <c r="Z162" s="247">
        <f t="shared" si="144"/>
        <v>0</v>
      </c>
      <c r="AA162" s="93"/>
    </row>
    <row r="163" spans="1:27">
      <c r="A163" s="97" t="s">
        <v>110</v>
      </c>
      <c r="B163" s="97" t="s">
        <v>391</v>
      </c>
      <c r="C163" s="46">
        <v>40</v>
      </c>
      <c r="D163" s="46">
        <v>0</v>
      </c>
      <c r="E163" s="46">
        <v>0</v>
      </c>
      <c r="F163" s="46">
        <f t="shared" si="146"/>
        <v>40</v>
      </c>
      <c r="G163" s="48">
        <v>0</v>
      </c>
      <c r="H163" s="47">
        <v>0</v>
      </c>
      <c r="I163" s="47">
        <v>0</v>
      </c>
      <c r="J163" s="47">
        <f t="shared" si="134"/>
        <v>0</v>
      </c>
      <c r="K163" s="47"/>
      <c r="L163" s="47"/>
      <c r="M163" s="47"/>
      <c r="N163" s="47">
        <f t="shared" si="132"/>
        <v>0</v>
      </c>
      <c r="O163" s="47">
        <f t="shared" si="120"/>
        <v>0</v>
      </c>
      <c r="P163" s="47">
        <f t="shared" si="116"/>
        <v>0</v>
      </c>
      <c r="Q163" s="47">
        <f t="shared" si="117"/>
        <v>0</v>
      </c>
      <c r="R163" s="47">
        <f t="shared" si="121"/>
        <v>0</v>
      </c>
      <c r="S163" s="79">
        <f t="shared" si="135"/>
        <v>0</v>
      </c>
      <c r="T163" s="79">
        <v>0</v>
      </c>
      <c r="U163" s="79">
        <v>0</v>
      </c>
      <c r="V163" s="79">
        <f t="shared" si="136"/>
        <v>0</v>
      </c>
      <c r="W163" s="47">
        <f t="shared" si="133"/>
        <v>40</v>
      </c>
      <c r="X163" s="247">
        <f t="shared" si="145"/>
        <v>0</v>
      </c>
      <c r="Y163" s="247">
        <f t="shared" si="143"/>
        <v>0</v>
      </c>
      <c r="Z163" s="247">
        <f t="shared" si="144"/>
        <v>0</v>
      </c>
      <c r="AA163" s="93"/>
    </row>
    <row r="164" spans="1:27">
      <c r="A164" s="97" t="s">
        <v>112</v>
      </c>
      <c r="B164" s="97" t="s">
        <v>439</v>
      </c>
      <c r="C164" s="46">
        <v>624960</v>
      </c>
      <c r="D164" s="46">
        <v>0</v>
      </c>
      <c r="E164" s="46">
        <v>0</v>
      </c>
      <c r="F164" s="46">
        <f t="shared" si="146"/>
        <v>624960</v>
      </c>
      <c r="G164" s="48">
        <v>454650</v>
      </c>
      <c r="H164" s="47">
        <v>0</v>
      </c>
      <c r="I164" s="47">
        <v>0</v>
      </c>
      <c r="J164" s="47">
        <f t="shared" si="134"/>
        <v>454650</v>
      </c>
      <c r="K164" s="47"/>
      <c r="L164" s="47"/>
      <c r="M164" s="47"/>
      <c r="N164" s="47">
        <f t="shared" si="132"/>
        <v>0</v>
      </c>
      <c r="O164" s="47">
        <f t="shared" si="120"/>
        <v>454650</v>
      </c>
      <c r="P164" s="47">
        <f t="shared" si="116"/>
        <v>0</v>
      </c>
      <c r="Q164" s="47">
        <f t="shared" si="117"/>
        <v>0</v>
      </c>
      <c r="R164" s="47">
        <f t="shared" si="121"/>
        <v>454650</v>
      </c>
      <c r="S164" s="79">
        <f t="shared" si="135"/>
        <v>72.748655913978496</v>
      </c>
      <c r="T164" s="79">
        <v>0</v>
      </c>
      <c r="U164" s="79">
        <v>0</v>
      </c>
      <c r="V164" s="79">
        <f t="shared" si="136"/>
        <v>72.748655913978496</v>
      </c>
      <c r="W164" s="47">
        <f t="shared" si="133"/>
        <v>170310</v>
      </c>
      <c r="X164" s="247">
        <f t="shared" si="145"/>
        <v>454650</v>
      </c>
      <c r="Y164" s="247">
        <f t="shared" si="143"/>
        <v>0</v>
      </c>
      <c r="Z164" s="247">
        <f t="shared" si="144"/>
        <v>0</v>
      </c>
      <c r="AA164" s="93"/>
    </row>
    <row r="165" spans="1:27">
      <c r="A165" s="97" t="s">
        <v>278</v>
      </c>
      <c r="B165" s="97" t="s">
        <v>441</v>
      </c>
      <c r="C165" s="46">
        <v>25800000</v>
      </c>
      <c r="D165" s="46">
        <v>0</v>
      </c>
      <c r="E165" s="46">
        <v>0</v>
      </c>
      <c r="F165" s="46">
        <f t="shared" si="146"/>
        <v>25800000</v>
      </c>
      <c r="G165" s="48">
        <v>16284000</v>
      </c>
      <c r="H165" s="47">
        <v>0</v>
      </c>
      <c r="I165" s="47">
        <v>0</v>
      </c>
      <c r="J165" s="47">
        <f t="shared" si="134"/>
        <v>16284000</v>
      </c>
      <c r="K165" s="47"/>
      <c r="L165" s="47"/>
      <c r="M165" s="47"/>
      <c r="N165" s="47">
        <f t="shared" si="132"/>
        <v>0</v>
      </c>
      <c r="O165" s="47">
        <f t="shared" si="120"/>
        <v>16284000</v>
      </c>
      <c r="P165" s="47">
        <f t="shared" si="116"/>
        <v>0</v>
      </c>
      <c r="Q165" s="47">
        <f t="shared" si="117"/>
        <v>0</v>
      </c>
      <c r="R165" s="47">
        <f t="shared" si="121"/>
        <v>16284000</v>
      </c>
      <c r="S165" s="79">
        <f t="shared" si="135"/>
        <v>63.116279069767444</v>
      </c>
      <c r="T165" s="79">
        <v>0</v>
      </c>
      <c r="U165" s="79">
        <v>0</v>
      </c>
      <c r="V165" s="79">
        <f t="shared" si="136"/>
        <v>63.116279069767444</v>
      </c>
      <c r="W165" s="47">
        <f t="shared" si="133"/>
        <v>9516000</v>
      </c>
      <c r="X165" s="247">
        <f t="shared" si="145"/>
        <v>16284000</v>
      </c>
      <c r="Y165" s="247">
        <f t="shared" si="143"/>
        <v>0</v>
      </c>
      <c r="Z165" s="247">
        <f t="shared" si="144"/>
        <v>0</v>
      </c>
      <c r="AA165" s="93"/>
    </row>
    <row r="166" spans="1:27" s="4" customFormat="1" ht="21" customHeight="1">
      <c r="A166" s="38" t="s">
        <v>455</v>
      </c>
      <c r="B166" s="105" t="s">
        <v>456</v>
      </c>
      <c r="C166" s="40">
        <f t="shared" ref="C166:M166" si="153">C167+C171+C176</f>
        <v>124950000</v>
      </c>
      <c r="D166" s="40">
        <f t="shared" si="153"/>
        <v>0</v>
      </c>
      <c r="E166" s="40">
        <f t="shared" si="153"/>
        <v>0</v>
      </c>
      <c r="F166" s="40">
        <f t="shared" si="146"/>
        <v>124950000</v>
      </c>
      <c r="G166" s="40">
        <f t="shared" ref="G166:I166" si="154">G167+G171+G176</f>
        <v>70448000</v>
      </c>
      <c r="H166" s="40">
        <f t="shared" si="154"/>
        <v>0</v>
      </c>
      <c r="I166" s="40">
        <f t="shared" si="154"/>
        <v>0</v>
      </c>
      <c r="J166" s="40">
        <f t="shared" si="134"/>
        <v>70448000</v>
      </c>
      <c r="K166" s="40">
        <f t="shared" si="153"/>
        <v>0</v>
      </c>
      <c r="L166" s="40">
        <f t="shared" si="153"/>
        <v>0</v>
      </c>
      <c r="M166" s="40">
        <f t="shared" si="153"/>
        <v>0</v>
      </c>
      <c r="N166" s="40">
        <f t="shared" si="132"/>
        <v>0</v>
      </c>
      <c r="O166" s="40">
        <f t="shared" si="120"/>
        <v>70448000</v>
      </c>
      <c r="P166" s="40">
        <f t="shared" si="116"/>
        <v>0</v>
      </c>
      <c r="Q166" s="40">
        <f t="shared" si="117"/>
        <v>0</v>
      </c>
      <c r="R166" s="40">
        <f t="shared" si="121"/>
        <v>70448000</v>
      </c>
      <c r="S166" s="77">
        <f t="shared" si="135"/>
        <v>56.38095238095238</v>
      </c>
      <c r="T166" s="77">
        <v>0</v>
      </c>
      <c r="U166" s="77">
        <v>0</v>
      </c>
      <c r="V166" s="77">
        <f t="shared" si="136"/>
        <v>56.38095238095238</v>
      </c>
      <c r="W166" s="40">
        <f t="shared" si="133"/>
        <v>54502000</v>
      </c>
      <c r="X166" s="247">
        <f t="shared" si="145"/>
        <v>70448000</v>
      </c>
      <c r="Y166" s="247">
        <f t="shared" si="143"/>
        <v>0</v>
      </c>
      <c r="Z166" s="247">
        <f t="shared" si="144"/>
        <v>0</v>
      </c>
      <c r="AA166" s="93"/>
    </row>
    <row r="167" spans="1:27" s="5" customFormat="1">
      <c r="A167" s="96" t="s">
        <v>457</v>
      </c>
      <c r="B167" s="96" t="s">
        <v>458</v>
      </c>
      <c r="C167" s="60">
        <f>SUM(C168:C170)</f>
        <v>35900000</v>
      </c>
      <c r="D167" s="60">
        <f>SUM(D168:D170)</f>
        <v>0</v>
      </c>
      <c r="E167" s="60">
        <f>SUM(E168:E170)</f>
        <v>0</v>
      </c>
      <c r="F167" s="60">
        <f t="shared" si="146"/>
        <v>35900000</v>
      </c>
      <c r="G167" s="60">
        <f t="shared" ref="G167:I167" si="155">SUM(G168:G170)</f>
        <v>25273000</v>
      </c>
      <c r="H167" s="60">
        <f t="shared" si="155"/>
        <v>0</v>
      </c>
      <c r="I167" s="60">
        <f t="shared" si="155"/>
        <v>0</v>
      </c>
      <c r="J167" s="60">
        <f t="shared" si="134"/>
        <v>25273000</v>
      </c>
      <c r="K167" s="60">
        <f t="shared" ref="K167:M167" si="156">SUM(K168:K170)</f>
        <v>0</v>
      </c>
      <c r="L167" s="60">
        <f t="shared" si="156"/>
        <v>0</v>
      </c>
      <c r="M167" s="60">
        <f t="shared" si="156"/>
        <v>0</v>
      </c>
      <c r="N167" s="60">
        <f t="shared" si="132"/>
        <v>0</v>
      </c>
      <c r="O167" s="60">
        <f t="shared" si="120"/>
        <v>25273000</v>
      </c>
      <c r="P167" s="60">
        <f t="shared" si="116"/>
        <v>0</v>
      </c>
      <c r="Q167" s="60">
        <f t="shared" si="117"/>
        <v>0</v>
      </c>
      <c r="R167" s="60">
        <f t="shared" si="121"/>
        <v>25273000</v>
      </c>
      <c r="S167" s="84">
        <f t="shared" si="135"/>
        <v>70.398328690807801</v>
      </c>
      <c r="T167" s="84">
        <v>0</v>
      </c>
      <c r="U167" s="84">
        <v>0</v>
      </c>
      <c r="V167" s="84">
        <f t="shared" si="136"/>
        <v>70.398328690807801</v>
      </c>
      <c r="W167" s="60">
        <f t="shared" si="133"/>
        <v>10627000</v>
      </c>
      <c r="X167" s="247">
        <f t="shared" si="145"/>
        <v>25273000</v>
      </c>
      <c r="Y167" s="247">
        <f t="shared" si="143"/>
        <v>0</v>
      </c>
      <c r="Z167" s="247">
        <f t="shared" si="144"/>
        <v>0</v>
      </c>
      <c r="AA167" s="93"/>
    </row>
    <row r="168" spans="1:27">
      <c r="A168" s="97" t="s">
        <v>110</v>
      </c>
      <c r="B168" s="97" t="s">
        <v>391</v>
      </c>
      <c r="C168" s="46">
        <v>1500</v>
      </c>
      <c r="D168" s="46">
        <v>0</v>
      </c>
      <c r="E168" s="46">
        <v>0</v>
      </c>
      <c r="F168" s="46">
        <f t="shared" si="146"/>
        <v>1500</v>
      </c>
      <c r="G168" s="48">
        <v>0</v>
      </c>
      <c r="H168" s="47">
        <v>0</v>
      </c>
      <c r="I168" s="47">
        <v>0</v>
      </c>
      <c r="J168" s="47">
        <f t="shared" si="134"/>
        <v>0</v>
      </c>
      <c r="K168" s="47"/>
      <c r="L168" s="47"/>
      <c r="M168" s="47"/>
      <c r="N168" s="47">
        <f t="shared" si="132"/>
        <v>0</v>
      </c>
      <c r="O168" s="47">
        <f t="shared" si="120"/>
        <v>0</v>
      </c>
      <c r="P168" s="47">
        <f t="shared" si="116"/>
        <v>0</v>
      </c>
      <c r="Q168" s="47">
        <f t="shared" si="117"/>
        <v>0</v>
      </c>
      <c r="R168" s="47">
        <f t="shared" si="121"/>
        <v>0</v>
      </c>
      <c r="S168" s="79">
        <f t="shared" si="135"/>
        <v>0</v>
      </c>
      <c r="T168" s="79">
        <v>0</v>
      </c>
      <c r="U168" s="79">
        <v>0</v>
      </c>
      <c r="V168" s="79">
        <f t="shared" si="136"/>
        <v>0</v>
      </c>
      <c r="W168" s="47">
        <f t="shared" si="133"/>
        <v>1500</v>
      </c>
      <c r="X168" s="247">
        <f t="shared" si="145"/>
        <v>0</v>
      </c>
      <c r="Y168" s="247">
        <f t="shared" si="143"/>
        <v>0</v>
      </c>
      <c r="Z168" s="247">
        <f t="shared" si="144"/>
        <v>0</v>
      </c>
      <c r="AA168" s="93"/>
    </row>
    <row r="169" spans="1:27">
      <c r="A169" s="97" t="s">
        <v>112</v>
      </c>
      <c r="B169" s="97" t="s">
        <v>439</v>
      </c>
      <c r="C169" s="46">
        <v>1098500</v>
      </c>
      <c r="D169" s="46">
        <v>0</v>
      </c>
      <c r="E169" s="46">
        <v>0</v>
      </c>
      <c r="F169" s="46">
        <f t="shared" si="146"/>
        <v>1098500</v>
      </c>
      <c r="G169" s="48">
        <v>0</v>
      </c>
      <c r="H169" s="47">
        <v>0</v>
      </c>
      <c r="I169" s="47">
        <v>0</v>
      </c>
      <c r="J169" s="47">
        <f t="shared" si="134"/>
        <v>0</v>
      </c>
      <c r="K169" s="47"/>
      <c r="L169" s="47"/>
      <c r="M169" s="47"/>
      <c r="N169" s="47">
        <f t="shared" si="132"/>
        <v>0</v>
      </c>
      <c r="O169" s="47">
        <f t="shared" si="120"/>
        <v>0</v>
      </c>
      <c r="P169" s="47">
        <f t="shared" si="116"/>
        <v>0</v>
      </c>
      <c r="Q169" s="47">
        <f t="shared" si="117"/>
        <v>0</v>
      </c>
      <c r="R169" s="47">
        <f t="shared" si="121"/>
        <v>0</v>
      </c>
      <c r="S169" s="79">
        <f t="shared" si="135"/>
        <v>0</v>
      </c>
      <c r="T169" s="79">
        <v>0</v>
      </c>
      <c r="U169" s="79">
        <v>0</v>
      </c>
      <c r="V169" s="79">
        <f t="shared" si="136"/>
        <v>0</v>
      </c>
      <c r="W169" s="47">
        <f t="shared" si="133"/>
        <v>1098500</v>
      </c>
      <c r="X169" s="247">
        <f t="shared" si="145"/>
        <v>0</v>
      </c>
      <c r="Y169" s="247">
        <f t="shared" si="143"/>
        <v>0</v>
      </c>
      <c r="Z169" s="247">
        <f t="shared" si="144"/>
        <v>0</v>
      </c>
      <c r="AA169" s="93"/>
    </row>
    <row r="170" spans="1:27">
      <c r="A170" s="97" t="s">
        <v>278</v>
      </c>
      <c r="B170" s="97" t="s">
        <v>441</v>
      </c>
      <c r="C170" s="46">
        <v>34800000</v>
      </c>
      <c r="D170" s="46">
        <v>0</v>
      </c>
      <c r="E170" s="46">
        <v>0</v>
      </c>
      <c r="F170" s="46">
        <f t="shared" si="146"/>
        <v>34800000</v>
      </c>
      <c r="G170" s="48">
        <v>25273000</v>
      </c>
      <c r="H170" s="47">
        <v>0</v>
      </c>
      <c r="I170" s="47">
        <v>0</v>
      </c>
      <c r="J170" s="47">
        <f t="shared" si="134"/>
        <v>25273000</v>
      </c>
      <c r="K170" s="47"/>
      <c r="L170" s="47"/>
      <c r="M170" s="47"/>
      <c r="N170" s="47">
        <f t="shared" si="132"/>
        <v>0</v>
      </c>
      <c r="O170" s="47">
        <f t="shared" si="120"/>
        <v>25273000</v>
      </c>
      <c r="P170" s="47">
        <f t="shared" si="116"/>
        <v>0</v>
      </c>
      <c r="Q170" s="47">
        <f t="shared" si="117"/>
        <v>0</v>
      </c>
      <c r="R170" s="47">
        <f t="shared" si="121"/>
        <v>25273000</v>
      </c>
      <c r="S170" s="79">
        <f t="shared" si="135"/>
        <v>72.623563218390814</v>
      </c>
      <c r="T170" s="79">
        <v>0</v>
      </c>
      <c r="U170" s="79">
        <v>0</v>
      </c>
      <c r="V170" s="79">
        <f t="shared" si="136"/>
        <v>72.623563218390814</v>
      </c>
      <c r="W170" s="47">
        <f t="shared" si="133"/>
        <v>9527000</v>
      </c>
      <c r="X170" s="247">
        <f t="shared" si="145"/>
        <v>25273000</v>
      </c>
      <c r="Y170" s="247">
        <f t="shared" si="143"/>
        <v>0</v>
      </c>
      <c r="Z170" s="247">
        <f t="shared" si="144"/>
        <v>0</v>
      </c>
      <c r="AA170" s="93"/>
    </row>
    <row r="171" spans="1:27" s="5" customFormat="1">
      <c r="A171" s="96" t="s">
        <v>459</v>
      </c>
      <c r="B171" s="96" t="s">
        <v>460</v>
      </c>
      <c r="C171" s="60">
        <f>SUM(C172:C175)</f>
        <v>29500000</v>
      </c>
      <c r="D171" s="60">
        <f>SUM(D172:D175)</f>
        <v>0</v>
      </c>
      <c r="E171" s="60">
        <f>SUM(E172:E175)</f>
        <v>0</v>
      </c>
      <c r="F171" s="60">
        <f t="shared" si="146"/>
        <v>29500000</v>
      </c>
      <c r="G171" s="60">
        <f>SUM(G172:G175)</f>
        <v>0</v>
      </c>
      <c r="H171" s="60">
        <f t="shared" ref="H171:I171" si="157">SUM(H172:H175)</f>
        <v>0</v>
      </c>
      <c r="I171" s="60">
        <f t="shared" si="157"/>
        <v>0</v>
      </c>
      <c r="J171" s="60">
        <f t="shared" si="134"/>
        <v>0</v>
      </c>
      <c r="K171" s="60">
        <f t="shared" ref="K171:M171" si="158">SUM(K172:K175)</f>
        <v>0</v>
      </c>
      <c r="L171" s="60">
        <f t="shared" si="158"/>
        <v>0</v>
      </c>
      <c r="M171" s="60">
        <f t="shared" si="158"/>
        <v>0</v>
      </c>
      <c r="N171" s="60">
        <f t="shared" si="132"/>
        <v>0</v>
      </c>
      <c r="O171" s="60">
        <f t="shared" si="120"/>
        <v>0</v>
      </c>
      <c r="P171" s="60">
        <f t="shared" si="116"/>
        <v>0</v>
      </c>
      <c r="Q171" s="60">
        <f t="shared" si="117"/>
        <v>0</v>
      </c>
      <c r="R171" s="60">
        <f t="shared" si="121"/>
        <v>0</v>
      </c>
      <c r="S171" s="84">
        <f t="shared" si="135"/>
        <v>0</v>
      </c>
      <c r="T171" s="84">
        <v>0</v>
      </c>
      <c r="U171" s="84">
        <v>0</v>
      </c>
      <c r="V171" s="84">
        <f t="shared" si="136"/>
        <v>0</v>
      </c>
      <c r="W171" s="60">
        <f t="shared" si="133"/>
        <v>29500000</v>
      </c>
      <c r="X171" s="247">
        <f t="shared" si="145"/>
        <v>0</v>
      </c>
      <c r="Y171" s="247">
        <f t="shared" si="143"/>
        <v>0</v>
      </c>
      <c r="Z171" s="247">
        <f t="shared" si="144"/>
        <v>0</v>
      </c>
      <c r="AA171" s="93"/>
    </row>
    <row r="172" spans="1:27">
      <c r="A172" s="97" t="s">
        <v>385</v>
      </c>
      <c r="B172" s="97" t="s">
        <v>386</v>
      </c>
      <c r="C172" s="46">
        <v>20047300</v>
      </c>
      <c r="D172" s="46">
        <v>0</v>
      </c>
      <c r="E172" s="46">
        <v>0</v>
      </c>
      <c r="F172" s="46">
        <f t="shared" si="146"/>
        <v>20047300</v>
      </c>
      <c r="G172" s="48">
        <v>0</v>
      </c>
      <c r="H172" s="47">
        <v>0</v>
      </c>
      <c r="I172" s="47">
        <v>0</v>
      </c>
      <c r="J172" s="47">
        <f t="shared" si="134"/>
        <v>0</v>
      </c>
      <c r="K172" s="47"/>
      <c r="L172" s="47"/>
      <c r="M172" s="47"/>
      <c r="N172" s="47">
        <f t="shared" si="132"/>
        <v>0</v>
      </c>
      <c r="O172" s="47">
        <f t="shared" si="120"/>
        <v>0</v>
      </c>
      <c r="P172" s="47">
        <f t="shared" si="116"/>
        <v>0</v>
      </c>
      <c r="Q172" s="47">
        <f t="shared" si="117"/>
        <v>0</v>
      </c>
      <c r="R172" s="47">
        <f t="shared" si="121"/>
        <v>0</v>
      </c>
      <c r="S172" s="79">
        <f t="shared" si="135"/>
        <v>0</v>
      </c>
      <c r="T172" s="79">
        <v>0</v>
      </c>
      <c r="U172" s="79">
        <v>0</v>
      </c>
      <c r="V172" s="79">
        <f t="shared" si="136"/>
        <v>0</v>
      </c>
      <c r="W172" s="47">
        <f t="shared" si="133"/>
        <v>20047300</v>
      </c>
      <c r="X172" s="247">
        <f t="shared" si="145"/>
        <v>0</v>
      </c>
      <c r="Y172" s="247">
        <f t="shared" si="143"/>
        <v>0</v>
      </c>
      <c r="Z172" s="247">
        <f t="shared" si="144"/>
        <v>0</v>
      </c>
      <c r="AA172" s="93"/>
    </row>
    <row r="173" spans="1:27">
      <c r="A173" s="97" t="s">
        <v>110</v>
      </c>
      <c r="B173" s="97" t="s">
        <v>391</v>
      </c>
      <c r="C173" s="46">
        <v>2700</v>
      </c>
      <c r="D173" s="46">
        <v>0</v>
      </c>
      <c r="E173" s="46">
        <v>0</v>
      </c>
      <c r="F173" s="46">
        <f t="shared" si="146"/>
        <v>2700</v>
      </c>
      <c r="G173" s="48">
        <v>0</v>
      </c>
      <c r="H173" s="47">
        <v>0</v>
      </c>
      <c r="I173" s="47">
        <v>0</v>
      </c>
      <c r="J173" s="47">
        <f t="shared" si="134"/>
        <v>0</v>
      </c>
      <c r="K173" s="47"/>
      <c r="L173" s="47"/>
      <c r="M173" s="47"/>
      <c r="N173" s="47">
        <f t="shared" si="132"/>
        <v>0</v>
      </c>
      <c r="O173" s="47">
        <f t="shared" si="120"/>
        <v>0</v>
      </c>
      <c r="P173" s="47">
        <f t="shared" si="116"/>
        <v>0</v>
      </c>
      <c r="Q173" s="47">
        <f t="shared" si="117"/>
        <v>0</v>
      </c>
      <c r="R173" s="47">
        <f t="shared" si="121"/>
        <v>0</v>
      </c>
      <c r="S173" s="79">
        <f t="shared" si="135"/>
        <v>0</v>
      </c>
      <c r="T173" s="79">
        <v>0</v>
      </c>
      <c r="U173" s="79">
        <v>0</v>
      </c>
      <c r="V173" s="79">
        <f t="shared" si="136"/>
        <v>0</v>
      </c>
      <c r="W173" s="47">
        <f t="shared" si="133"/>
        <v>2700</v>
      </c>
      <c r="X173" s="247">
        <f t="shared" si="145"/>
        <v>0</v>
      </c>
      <c r="Y173" s="247">
        <f t="shared" si="143"/>
        <v>0</v>
      </c>
      <c r="Z173" s="247">
        <f t="shared" si="144"/>
        <v>0</v>
      </c>
      <c r="AA173" s="93"/>
    </row>
    <row r="174" spans="1:27">
      <c r="A174" s="97" t="s">
        <v>462</v>
      </c>
      <c r="B174" s="97" t="s">
        <v>461</v>
      </c>
      <c r="C174" s="46">
        <v>1050000</v>
      </c>
      <c r="D174" s="46">
        <v>0</v>
      </c>
      <c r="E174" s="46">
        <v>0</v>
      </c>
      <c r="F174" s="46">
        <f t="shared" si="146"/>
        <v>1050000</v>
      </c>
      <c r="G174" s="48">
        <v>0</v>
      </c>
      <c r="H174" s="47">
        <v>0</v>
      </c>
      <c r="I174" s="47">
        <v>0</v>
      </c>
      <c r="J174" s="47">
        <f t="shared" si="134"/>
        <v>0</v>
      </c>
      <c r="K174" s="47"/>
      <c r="L174" s="47"/>
      <c r="M174" s="47"/>
      <c r="N174" s="47">
        <f t="shared" si="132"/>
        <v>0</v>
      </c>
      <c r="O174" s="47">
        <f t="shared" si="120"/>
        <v>0</v>
      </c>
      <c r="P174" s="47">
        <f t="shared" si="116"/>
        <v>0</v>
      </c>
      <c r="Q174" s="47">
        <f t="shared" si="117"/>
        <v>0</v>
      </c>
      <c r="R174" s="47">
        <f t="shared" si="121"/>
        <v>0</v>
      </c>
      <c r="S174" s="79">
        <f t="shared" si="135"/>
        <v>0</v>
      </c>
      <c r="T174" s="79">
        <v>0</v>
      </c>
      <c r="U174" s="79">
        <v>0</v>
      </c>
      <c r="V174" s="79">
        <f t="shared" si="136"/>
        <v>0</v>
      </c>
      <c r="W174" s="47">
        <f t="shared" si="133"/>
        <v>1050000</v>
      </c>
      <c r="X174" s="247">
        <f t="shared" si="145"/>
        <v>0</v>
      </c>
      <c r="Y174" s="247">
        <f t="shared" si="143"/>
        <v>0</v>
      </c>
      <c r="Z174" s="247">
        <f t="shared" si="144"/>
        <v>0</v>
      </c>
      <c r="AA174" s="93"/>
    </row>
    <row r="175" spans="1:27">
      <c r="A175" s="97" t="s">
        <v>278</v>
      </c>
      <c r="B175" s="97" t="s">
        <v>441</v>
      </c>
      <c r="C175" s="46">
        <v>8400000</v>
      </c>
      <c r="D175" s="46">
        <v>0</v>
      </c>
      <c r="E175" s="46">
        <v>0</v>
      </c>
      <c r="F175" s="46">
        <f t="shared" si="146"/>
        <v>8400000</v>
      </c>
      <c r="G175" s="48">
        <v>0</v>
      </c>
      <c r="H175" s="47">
        <v>0</v>
      </c>
      <c r="I175" s="47">
        <v>0</v>
      </c>
      <c r="J175" s="47">
        <f t="shared" si="134"/>
        <v>0</v>
      </c>
      <c r="K175" s="47"/>
      <c r="L175" s="47"/>
      <c r="M175" s="47"/>
      <c r="N175" s="47">
        <f t="shared" si="132"/>
        <v>0</v>
      </c>
      <c r="O175" s="47">
        <f t="shared" si="120"/>
        <v>0</v>
      </c>
      <c r="P175" s="47">
        <f t="shared" si="116"/>
        <v>0</v>
      </c>
      <c r="Q175" s="47">
        <f t="shared" si="117"/>
        <v>0</v>
      </c>
      <c r="R175" s="47">
        <f t="shared" si="121"/>
        <v>0</v>
      </c>
      <c r="S175" s="79">
        <f t="shared" si="135"/>
        <v>0</v>
      </c>
      <c r="T175" s="79">
        <v>0</v>
      </c>
      <c r="U175" s="79">
        <v>0</v>
      </c>
      <c r="V175" s="79">
        <f t="shared" si="136"/>
        <v>0</v>
      </c>
      <c r="W175" s="47">
        <f t="shared" si="133"/>
        <v>8400000</v>
      </c>
      <c r="X175" s="247">
        <f t="shared" si="145"/>
        <v>0</v>
      </c>
      <c r="Y175" s="247">
        <f t="shared" si="143"/>
        <v>0</v>
      </c>
      <c r="Z175" s="247">
        <f t="shared" si="144"/>
        <v>0</v>
      </c>
      <c r="AA175" s="93"/>
    </row>
    <row r="176" spans="1:27" s="5" customFormat="1">
      <c r="A176" s="96" t="s">
        <v>463</v>
      </c>
      <c r="B176" s="96" t="s">
        <v>464</v>
      </c>
      <c r="C176" s="60">
        <f>SUM(C177:C179)</f>
        <v>59550000</v>
      </c>
      <c r="D176" s="60">
        <f>SUM(D177:D179)</f>
        <v>0</v>
      </c>
      <c r="E176" s="60">
        <f>SUM(E177:E179)</f>
        <v>0</v>
      </c>
      <c r="F176" s="60">
        <f t="shared" si="146"/>
        <v>59550000</v>
      </c>
      <c r="G176" s="60">
        <f t="shared" ref="G176:I176" si="159">SUM(G177:G179)</f>
        <v>45175000</v>
      </c>
      <c r="H176" s="60">
        <f t="shared" si="159"/>
        <v>0</v>
      </c>
      <c r="I176" s="60">
        <f t="shared" si="159"/>
        <v>0</v>
      </c>
      <c r="J176" s="60">
        <f t="shared" si="134"/>
        <v>45175000</v>
      </c>
      <c r="K176" s="60">
        <f t="shared" ref="K176:M176" si="160">SUM(K177:K179)</f>
        <v>0</v>
      </c>
      <c r="L176" s="60">
        <f t="shared" si="160"/>
        <v>0</v>
      </c>
      <c r="M176" s="60">
        <f t="shared" si="160"/>
        <v>0</v>
      </c>
      <c r="N176" s="60">
        <f t="shared" si="132"/>
        <v>0</v>
      </c>
      <c r="O176" s="60">
        <f t="shared" si="120"/>
        <v>45175000</v>
      </c>
      <c r="P176" s="60">
        <f t="shared" si="116"/>
        <v>0</v>
      </c>
      <c r="Q176" s="60">
        <f t="shared" si="117"/>
        <v>0</v>
      </c>
      <c r="R176" s="60">
        <f t="shared" si="121"/>
        <v>45175000</v>
      </c>
      <c r="S176" s="84">
        <f t="shared" si="135"/>
        <v>75.860621326616283</v>
      </c>
      <c r="T176" s="84">
        <v>0</v>
      </c>
      <c r="U176" s="84">
        <v>0</v>
      </c>
      <c r="V176" s="84">
        <f t="shared" si="136"/>
        <v>75.860621326616283</v>
      </c>
      <c r="W176" s="60">
        <f t="shared" si="133"/>
        <v>14375000</v>
      </c>
      <c r="X176" s="247">
        <f t="shared" si="145"/>
        <v>45175000</v>
      </c>
      <c r="Y176" s="247">
        <f t="shared" si="143"/>
        <v>0</v>
      </c>
      <c r="Z176" s="247">
        <f t="shared" si="144"/>
        <v>0</v>
      </c>
      <c r="AA176" s="93"/>
    </row>
    <row r="177" spans="1:27">
      <c r="A177" s="97" t="s">
        <v>110</v>
      </c>
      <c r="B177" s="97" t="s">
        <v>391</v>
      </c>
      <c r="C177" s="46">
        <v>23200</v>
      </c>
      <c r="D177" s="46">
        <v>0</v>
      </c>
      <c r="E177" s="46">
        <v>0</v>
      </c>
      <c r="F177" s="46">
        <f t="shared" si="146"/>
        <v>23200</v>
      </c>
      <c r="G177" s="48">
        <v>0</v>
      </c>
      <c r="H177" s="47">
        <v>0</v>
      </c>
      <c r="I177" s="47">
        <v>0</v>
      </c>
      <c r="J177" s="47">
        <f t="shared" si="134"/>
        <v>0</v>
      </c>
      <c r="K177" s="47"/>
      <c r="L177" s="47"/>
      <c r="M177" s="47"/>
      <c r="N177" s="47">
        <f t="shared" si="132"/>
        <v>0</v>
      </c>
      <c r="O177" s="47">
        <f t="shared" si="120"/>
        <v>0</v>
      </c>
      <c r="P177" s="47">
        <f t="shared" si="116"/>
        <v>0</v>
      </c>
      <c r="Q177" s="47">
        <f t="shared" si="117"/>
        <v>0</v>
      </c>
      <c r="R177" s="47">
        <f t="shared" si="121"/>
        <v>0</v>
      </c>
      <c r="S177" s="79">
        <f t="shared" si="135"/>
        <v>0</v>
      </c>
      <c r="T177" s="79">
        <v>0</v>
      </c>
      <c r="U177" s="79">
        <v>0</v>
      </c>
      <c r="V177" s="79">
        <f t="shared" si="136"/>
        <v>0</v>
      </c>
      <c r="W177" s="47">
        <f t="shared" si="133"/>
        <v>23200</v>
      </c>
      <c r="X177" s="247">
        <f t="shared" si="145"/>
        <v>0</v>
      </c>
      <c r="Y177" s="247">
        <f t="shared" si="143"/>
        <v>0</v>
      </c>
      <c r="Z177" s="247">
        <f t="shared" si="144"/>
        <v>0</v>
      </c>
      <c r="AA177" s="93"/>
    </row>
    <row r="178" spans="1:27">
      <c r="A178" s="97" t="s">
        <v>112</v>
      </c>
      <c r="B178" s="97" t="s">
        <v>439</v>
      </c>
      <c r="C178" s="46">
        <v>726800</v>
      </c>
      <c r="D178" s="46">
        <v>0</v>
      </c>
      <c r="E178" s="46">
        <v>0</v>
      </c>
      <c r="F178" s="46">
        <f t="shared" si="146"/>
        <v>726800</v>
      </c>
      <c r="G178" s="48">
        <v>0</v>
      </c>
      <c r="H178" s="47">
        <v>0</v>
      </c>
      <c r="I178" s="47">
        <v>0</v>
      </c>
      <c r="J178" s="47">
        <f t="shared" si="134"/>
        <v>0</v>
      </c>
      <c r="K178" s="47"/>
      <c r="L178" s="47"/>
      <c r="M178" s="47"/>
      <c r="N178" s="47">
        <f t="shared" si="132"/>
        <v>0</v>
      </c>
      <c r="O178" s="47">
        <f t="shared" si="120"/>
        <v>0</v>
      </c>
      <c r="P178" s="47">
        <f t="shared" si="116"/>
        <v>0</v>
      </c>
      <c r="Q178" s="47">
        <f t="shared" si="117"/>
        <v>0</v>
      </c>
      <c r="R178" s="47">
        <f t="shared" si="121"/>
        <v>0</v>
      </c>
      <c r="S178" s="79">
        <f t="shared" si="135"/>
        <v>0</v>
      </c>
      <c r="T178" s="79">
        <v>0</v>
      </c>
      <c r="U178" s="79">
        <v>0</v>
      </c>
      <c r="V178" s="79">
        <f t="shared" si="136"/>
        <v>0</v>
      </c>
      <c r="W178" s="47">
        <f t="shared" si="133"/>
        <v>726800</v>
      </c>
      <c r="X178" s="247">
        <f t="shared" si="145"/>
        <v>0</v>
      </c>
      <c r="Y178" s="247">
        <f t="shared" si="143"/>
        <v>0</v>
      </c>
      <c r="Z178" s="247">
        <f t="shared" si="144"/>
        <v>0</v>
      </c>
      <c r="AA178" s="93"/>
    </row>
    <row r="179" spans="1:27">
      <c r="A179" s="97" t="s">
        <v>278</v>
      </c>
      <c r="B179" s="97" t="s">
        <v>441</v>
      </c>
      <c r="C179" s="46">
        <v>58800000</v>
      </c>
      <c r="D179" s="46">
        <v>0</v>
      </c>
      <c r="E179" s="46">
        <v>0</v>
      </c>
      <c r="F179" s="46">
        <f t="shared" si="146"/>
        <v>58800000</v>
      </c>
      <c r="G179" s="48">
        <v>45175000</v>
      </c>
      <c r="H179" s="47">
        <v>0</v>
      </c>
      <c r="I179" s="47">
        <v>0</v>
      </c>
      <c r="J179" s="47">
        <f t="shared" si="134"/>
        <v>45175000</v>
      </c>
      <c r="K179" s="47"/>
      <c r="L179" s="47"/>
      <c r="M179" s="47"/>
      <c r="N179" s="47">
        <f t="shared" si="132"/>
        <v>0</v>
      </c>
      <c r="O179" s="47">
        <f t="shared" si="120"/>
        <v>45175000</v>
      </c>
      <c r="P179" s="47">
        <f t="shared" si="116"/>
        <v>0</v>
      </c>
      <c r="Q179" s="47">
        <f t="shared" si="117"/>
        <v>0</v>
      </c>
      <c r="R179" s="47">
        <f t="shared" si="121"/>
        <v>45175000</v>
      </c>
      <c r="S179" s="79">
        <f t="shared" si="135"/>
        <v>76.828231292517003</v>
      </c>
      <c r="T179" s="79">
        <v>0</v>
      </c>
      <c r="U179" s="79">
        <v>0</v>
      </c>
      <c r="V179" s="79">
        <f t="shared" si="136"/>
        <v>76.828231292517003</v>
      </c>
      <c r="W179" s="47">
        <f t="shared" si="133"/>
        <v>13625000</v>
      </c>
      <c r="X179" s="247">
        <f t="shared" si="145"/>
        <v>45175000</v>
      </c>
      <c r="Y179" s="247">
        <f t="shared" si="143"/>
        <v>0</v>
      </c>
      <c r="Z179" s="247">
        <f t="shared" si="144"/>
        <v>0</v>
      </c>
      <c r="AA179" s="93"/>
    </row>
    <row r="180" spans="1:27" s="4" customFormat="1" ht="21" customHeight="1">
      <c r="A180" s="38" t="s">
        <v>466</v>
      </c>
      <c r="B180" s="105" t="s">
        <v>465</v>
      </c>
      <c r="C180" s="40">
        <f>C181</f>
        <v>5900000</v>
      </c>
      <c r="D180" s="40">
        <f>D181</f>
        <v>0</v>
      </c>
      <c r="E180" s="40">
        <f>E181</f>
        <v>0</v>
      </c>
      <c r="F180" s="40">
        <f t="shared" si="146"/>
        <v>5900000</v>
      </c>
      <c r="G180" s="40">
        <f>G181</f>
        <v>1430000</v>
      </c>
      <c r="H180" s="40">
        <f t="shared" ref="H180:I180" si="161">H181</f>
        <v>0</v>
      </c>
      <c r="I180" s="40">
        <f t="shared" si="161"/>
        <v>0</v>
      </c>
      <c r="J180" s="40">
        <f t="shared" si="134"/>
        <v>1430000</v>
      </c>
      <c r="K180" s="40">
        <f>K181</f>
        <v>0</v>
      </c>
      <c r="L180" s="40">
        <f t="shared" ref="L180:M180" si="162">L181</f>
        <v>0</v>
      </c>
      <c r="M180" s="40">
        <f t="shared" si="162"/>
        <v>0</v>
      </c>
      <c r="N180" s="40">
        <f t="shared" si="132"/>
        <v>0</v>
      </c>
      <c r="O180" s="40">
        <f t="shared" si="120"/>
        <v>1430000</v>
      </c>
      <c r="P180" s="40">
        <f t="shared" si="116"/>
        <v>0</v>
      </c>
      <c r="Q180" s="40">
        <f t="shared" si="117"/>
        <v>0</v>
      </c>
      <c r="R180" s="40">
        <f t="shared" si="121"/>
        <v>1430000</v>
      </c>
      <c r="S180" s="77">
        <f t="shared" si="135"/>
        <v>24.237288135593221</v>
      </c>
      <c r="T180" s="77">
        <v>0</v>
      </c>
      <c r="U180" s="77">
        <v>0</v>
      </c>
      <c r="V180" s="77">
        <f t="shared" si="136"/>
        <v>24.237288135593221</v>
      </c>
      <c r="W180" s="40">
        <f t="shared" si="133"/>
        <v>4470000</v>
      </c>
      <c r="X180" s="247">
        <f t="shared" si="145"/>
        <v>1430000</v>
      </c>
      <c r="Y180" s="247">
        <f t="shared" si="143"/>
        <v>0</v>
      </c>
      <c r="Z180" s="247">
        <f t="shared" si="144"/>
        <v>0</v>
      </c>
      <c r="AA180" s="93"/>
    </row>
    <row r="181" spans="1:27" s="5" customFormat="1">
      <c r="A181" s="96" t="s">
        <v>467</v>
      </c>
      <c r="B181" s="96" t="s">
        <v>468</v>
      </c>
      <c r="C181" s="60">
        <f>SUM(C182:C184)</f>
        <v>5900000</v>
      </c>
      <c r="D181" s="60">
        <f>SUM(D182:D184)</f>
        <v>0</v>
      </c>
      <c r="E181" s="60">
        <f>SUM(E182:E184)</f>
        <v>0</v>
      </c>
      <c r="F181" s="60">
        <f t="shared" si="146"/>
        <v>5900000</v>
      </c>
      <c r="G181" s="60">
        <f t="shared" ref="G181:I181" si="163">SUM(G182:G184)</f>
        <v>1430000</v>
      </c>
      <c r="H181" s="60">
        <f t="shared" si="163"/>
        <v>0</v>
      </c>
      <c r="I181" s="60">
        <f t="shared" si="163"/>
        <v>0</v>
      </c>
      <c r="J181" s="60">
        <f t="shared" si="134"/>
        <v>1430000</v>
      </c>
      <c r="K181" s="60">
        <f t="shared" ref="K181:M181" si="164">SUM(K182:K184)</f>
        <v>0</v>
      </c>
      <c r="L181" s="60">
        <f t="shared" si="164"/>
        <v>0</v>
      </c>
      <c r="M181" s="60">
        <f t="shared" si="164"/>
        <v>0</v>
      </c>
      <c r="N181" s="60">
        <f t="shared" si="132"/>
        <v>0</v>
      </c>
      <c r="O181" s="60">
        <f t="shared" si="120"/>
        <v>1430000</v>
      </c>
      <c r="P181" s="60">
        <f t="shared" si="116"/>
        <v>0</v>
      </c>
      <c r="Q181" s="60">
        <f t="shared" si="117"/>
        <v>0</v>
      </c>
      <c r="R181" s="60">
        <f t="shared" si="121"/>
        <v>1430000</v>
      </c>
      <c r="S181" s="84">
        <f t="shared" si="135"/>
        <v>24.237288135593221</v>
      </c>
      <c r="T181" s="84">
        <v>0</v>
      </c>
      <c r="U181" s="84">
        <v>0</v>
      </c>
      <c r="V181" s="84">
        <f t="shared" si="136"/>
        <v>24.237288135593221</v>
      </c>
      <c r="W181" s="60">
        <f t="shared" si="133"/>
        <v>4470000</v>
      </c>
      <c r="X181" s="247">
        <f t="shared" si="145"/>
        <v>1430000</v>
      </c>
      <c r="Y181" s="247">
        <f t="shared" si="143"/>
        <v>0</v>
      </c>
      <c r="Z181" s="247">
        <f t="shared" si="144"/>
        <v>0</v>
      </c>
      <c r="AA181" s="93"/>
    </row>
    <row r="182" spans="1:27">
      <c r="A182" s="97" t="s">
        <v>110</v>
      </c>
      <c r="B182" s="97" t="s">
        <v>391</v>
      </c>
      <c r="C182" s="46">
        <v>20</v>
      </c>
      <c r="D182" s="46">
        <v>0</v>
      </c>
      <c r="E182" s="46">
        <v>0</v>
      </c>
      <c r="F182" s="46">
        <f t="shared" si="146"/>
        <v>20</v>
      </c>
      <c r="G182" s="48">
        <v>0</v>
      </c>
      <c r="H182" s="47">
        <v>0</v>
      </c>
      <c r="I182" s="47">
        <v>0</v>
      </c>
      <c r="J182" s="47">
        <f t="shared" si="134"/>
        <v>0</v>
      </c>
      <c r="K182" s="47"/>
      <c r="L182" s="47"/>
      <c r="M182" s="47"/>
      <c r="N182" s="47">
        <f t="shared" si="132"/>
        <v>0</v>
      </c>
      <c r="O182" s="47">
        <f t="shared" si="120"/>
        <v>0</v>
      </c>
      <c r="P182" s="47">
        <f t="shared" si="116"/>
        <v>0</v>
      </c>
      <c r="Q182" s="47">
        <f t="shared" si="117"/>
        <v>0</v>
      </c>
      <c r="R182" s="47">
        <f t="shared" si="121"/>
        <v>0</v>
      </c>
      <c r="S182" s="79">
        <f t="shared" si="135"/>
        <v>0</v>
      </c>
      <c r="T182" s="79">
        <v>0</v>
      </c>
      <c r="U182" s="79">
        <v>0</v>
      </c>
      <c r="V182" s="79">
        <f t="shared" si="136"/>
        <v>0</v>
      </c>
      <c r="W182" s="47">
        <f t="shared" si="133"/>
        <v>20</v>
      </c>
      <c r="X182" s="247">
        <f t="shared" si="145"/>
        <v>0</v>
      </c>
      <c r="Y182" s="247">
        <f t="shared" si="143"/>
        <v>0</v>
      </c>
      <c r="Z182" s="247">
        <f t="shared" si="144"/>
        <v>0</v>
      </c>
      <c r="AA182" s="93"/>
    </row>
    <row r="183" spans="1:27">
      <c r="A183" s="97" t="s">
        <v>112</v>
      </c>
      <c r="B183" s="97" t="s">
        <v>439</v>
      </c>
      <c r="C183" s="46">
        <v>1699980</v>
      </c>
      <c r="D183" s="46">
        <v>0</v>
      </c>
      <c r="E183" s="46">
        <v>0</v>
      </c>
      <c r="F183" s="46">
        <f t="shared" si="146"/>
        <v>1699980</v>
      </c>
      <c r="G183" s="48">
        <v>0</v>
      </c>
      <c r="H183" s="47">
        <v>0</v>
      </c>
      <c r="I183" s="47">
        <v>0</v>
      </c>
      <c r="J183" s="47">
        <f t="shared" si="134"/>
        <v>0</v>
      </c>
      <c r="K183" s="47"/>
      <c r="L183" s="47"/>
      <c r="M183" s="47"/>
      <c r="N183" s="47">
        <f t="shared" si="132"/>
        <v>0</v>
      </c>
      <c r="O183" s="47">
        <f t="shared" si="120"/>
        <v>0</v>
      </c>
      <c r="P183" s="47">
        <f t="shared" si="116"/>
        <v>0</v>
      </c>
      <c r="Q183" s="47">
        <f t="shared" si="117"/>
        <v>0</v>
      </c>
      <c r="R183" s="47">
        <f t="shared" si="121"/>
        <v>0</v>
      </c>
      <c r="S183" s="79">
        <f t="shared" si="135"/>
        <v>0</v>
      </c>
      <c r="T183" s="79">
        <v>0</v>
      </c>
      <c r="U183" s="79">
        <v>0</v>
      </c>
      <c r="V183" s="79">
        <f t="shared" si="136"/>
        <v>0</v>
      </c>
      <c r="W183" s="47">
        <f t="shared" si="133"/>
        <v>1699980</v>
      </c>
      <c r="X183" s="247">
        <f t="shared" si="145"/>
        <v>0</v>
      </c>
      <c r="Y183" s="247">
        <f t="shared" si="143"/>
        <v>0</v>
      </c>
      <c r="Z183" s="247">
        <f t="shared" si="144"/>
        <v>0</v>
      </c>
      <c r="AA183" s="93"/>
    </row>
    <row r="184" spans="1:27">
      <c r="A184" s="97" t="s">
        <v>278</v>
      </c>
      <c r="B184" s="97" t="s">
        <v>441</v>
      </c>
      <c r="C184" s="46">
        <v>4200000</v>
      </c>
      <c r="D184" s="46">
        <v>0</v>
      </c>
      <c r="E184" s="46">
        <v>0</v>
      </c>
      <c r="F184" s="46">
        <f t="shared" si="146"/>
        <v>4200000</v>
      </c>
      <c r="G184" s="47">
        <v>1430000</v>
      </c>
      <c r="H184" s="47">
        <v>0</v>
      </c>
      <c r="I184" s="47">
        <v>0</v>
      </c>
      <c r="J184" s="47">
        <f t="shared" si="134"/>
        <v>1430000</v>
      </c>
      <c r="K184" s="47"/>
      <c r="L184" s="47"/>
      <c r="M184" s="47"/>
      <c r="N184" s="47">
        <f t="shared" si="132"/>
        <v>0</v>
      </c>
      <c r="O184" s="47">
        <f t="shared" ref="O184:O247" si="165">K184+G184</f>
        <v>1430000</v>
      </c>
      <c r="P184" s="47">
        <f t="shared" ref="P184:P247" si="166">L184+H184</f>
        <v>0</v>
      </c>
      <c r="Q184" s="47">
        <f t="shared" ref="Q184:Q247" si="167">M184+I184</f>
        <v>0</v>
      </c>
      <c r="R184" s="47">
        <f t="shared" ref="R184:R247" si="168">SUM(O184:Q184)</f>
        <v>1430000</v>
      </c>
      <c r="S184" s="79">
        <f t="shared" si="135"/>
        <v>34.047619047619051</v>
      </c>
      <c r="T184" s="79">
        <v>0</v>
      </c>
      <c r="U184" s="79">
        <v>0</v>
      </c>
      <c r="V184" s="79">
        <f t="shared" si="136"/>
        <v>34.047619047619051</v>
      </c>
      <c r="W184" s="47">
        <f t="shared" si="133"/>
        <v>2770000</v>
      </c>
      <c r="X184" s="247">
        <f t="shared" si="145"/>
        <v>1430000</v>
      </c>
      <c r="Y184" s="247">
        <f t="shared" si="143"/>
        <v>0</v>
      </c>
      <c r="Z184" s="247">
        <f t="shared" si="144"/>
        <v>0</v>
      </c>
      <c r="AA184" s="93"/>
    </row>
    <row r="185" spans="1:27" s="10" customFormat="1" ht="18">
      <c r="A185" s="56"/>
      <c r="B185" s="57" t="s">
        <v>18</v>
      </c>
      <c r="C185" s="58">
        <f>C186</f>
        <v>1724767197</v>
      </c>
      <c r="D185" s="58">
        <f>D186</f>
        <v>296107800</v>
      </c>
      <c r="E185" s="58">
        <f>E186</f>
        <v>0</v>
      </c>
      <c r="F185" s="58">
        <f t="shared" si="146"/>
        <v>2020874997</v>
      </c>
      <c r="G185" s="58">
        <f t="shared" ref="G185:I185" si="169">G186</f>
        <v>1156630305</v>
      </c>
      <c r="H185" s="58">
        <f t="shared" si="169"/>
        <v>31182330</v>
      </c>
      <c r="I185" s="58">
        <f t="shared" si="169"/>
        <v>0</v>
      </c>
      <c r="J185" s="58">
        <f t="shared" si="134"/>
        <v>1187812635</v>
      </c>
      <c r="K185" s="58">
        <f t="shared" ref="K185:M185" si="170">K186</f>
        <v>0</v>
      </c>
      <c r="L185" s="58">
        <f t="shared" si="170"/>
        <v>0</v>
      </c>
      <c r="M185" s="58">
        <f t="shared" si="170"/>
        <v>0</v>
      </c>
      <c r="N185" s="58">
        <f t="shared" si="132"/>
        <v>0</v>
      </c>
      <c r="O185" s="58">
        <f t="shared" si="165"/>
        <v>1156630305</v>
      </c>
      <c r="P185" s="58">
        <f t="shared" si="166"/>
        <v>31182330</v>
      </c>
      <c r="Q185" s="58">
        <f t="shared" si="167"/>
        <v>0</v>
      </c>
      <c r="R185" s="58">
        <f t="shared" si="168"/>
        <v>1187812635</v>
      </c>
      <c r="S185" s="83">
        <f t="shared" si="135"/>
        <v>67.060082486019127</v>
      </c>
      <c r="T185" s="83">
        <f>P185/D185*100</f>
        <v>10.530735765825824</v>
      </c>
      <c r="U185" s="83">
        <v>0</v>
      </c>
      <c r="V185" s="83">
        <f t="shared" si="136"/>
        <v>58.777145383228266</v>
      </c>
      <c r="W185" s="58">
        <f t="shared" si="133"/>
        <v>833062362</v>
      </c>
      <c r="X185" s="247">
        <f t="shared" si="145"/>
        <v>1156630305</v>
      </c>
      <c r="Y185" s="247">
        <f t="shared" si="143"/>
        <v>31182330</v>
      </c>
      <c r="Z185" s="247">
        <f t="shared" si="144"/>
        <v>0</v>
      </c>
      <c r="AA185" s="93"/>
    </row>
    <row r="186" spans="1:27" s="4" customFormat="1" ht="21" customHeight="1">
      <c r="A186" s="38" t="s">
        <v>223</v>
      </c>
      <c r="B186" s="105" t="s">
        <v>224</v>
      </c>
      <c r="C186" s="40">
        <f>C187+C212+C197+C202+C205</f>
        <v>1724767197</v>
      </c>
      <c r="D186" s="40">
        <f>D187+D212</f>
        <v>296107800</v>
      </c>
      <c r="E186" s="40">
        <f>E187+E212</f>
        <v>0</v>
      </c>
      <c r="F186" s="40">
        <f t="shared" si="146"/>
        <v>2020874997</v>
      </c>
      <c r="G186" s="40">
        <f>G187+G212+G197+G202+G205</f>
        <v>1156630305</v>
      </c>
      <c r="H186" s="40">
        <f>H187+H212</f>
        <v>31182330</v>
      </c>
      <c r="I186" s="40">
        <f>I187+I212</f>
        <v>0</v>
      </c>
      <c r="J186" s="40">
        <f t="shared" si="134"/>
        <v>1187812635</v>
      </c>
      <c r="K186" s="40">
        <f>K187+K212+K197+K202+K205</f>
        <v>0</v>
      </c>
      <c r="L186" s="40">
        <f>L187+L212+L197+L202+L205</f>
        <v>0</v>
      </c>
      <c r="M186" s="40">
        <f>M187+M212+M197+M202+M205</f>
        <v>0</v>
      </c>
      <c r="N186" s="40">
        <f t="shared" si="132"/>
        <v>0</v>
      </c>
      <c r="O186" s="40">
        <f t="shared" si="165"/>
        <v>1156630305</v>
      </c>
      <c r="P186" s="40">
        <f t="shared" si="166"/>
        <v>31182330</v>
      </c>
      <c r="Q186" s="40">
        <f t="shared" si="167"/>
        <v>0</v>
      </c>
      <c r="R186" s="40">
        <f t="shared" si="168"/>
        <v>1187812635</v>
      </c>
      <c r="S186" s="77">
        <f t="shared" si="135"/>
        <v>67.060082486019127</v>
      </c>
      <c r="T186" s="77">
        <f>P186/D186*100</f>
        <v>10.530735765825824</v>
      </c>
      <c r="U186" s="77">
        <v>0</v>
      </c>
      <c r="V186" s="77">
        <f t="shared" si="136"/>
        <v>58.777145383228266</v>
      </c>
      <c r="W186" s="40">
        <f t="shared" si="133"/>
        <v>833062362</v>
      </c>
      <c r="X186" s="247">
        <f t="shared" si="145"/>
        <v>1156630305</v>
      </c>
      <c r="Y186" s="247">
        <f t="shared" si="143"/>
        <v>31182330</v>
      </c>
      <c r="Z186" s="247">
        <f t="shared" si="144"/>
        <v>0</v>
      </c>
      <c r="AA186" s="93"/>
    </row>
    <row r="187" spans="1:27" s="5" customFormat="1">
      <c r="A187" s="96" t="s">
        <v>225</v>
      </c>
      <c r="B187" s="96" t="s">
        <v>226</v>
      </c>
      <c r="C187" s="60">
        <f>SUM(C188:C196)</f>
        <v>883634437</v>
      </c>
      <c r="D187" s="60">
        <f>SUM(D188:D196)</f>
        <v>0</v>
      </c>
      <c r="E187" s="60">
        <f>SUM(E188:E196)</f>
        <v>0</v>
      </c>
      <c r="F187" s="60">
        <f t="shared" si="146"/>
        <v>883634437</v>
      </c>
      <c r="G187" s="60">
        <f t="shared" ref="G187:I187" si="171">SUM(G188:G196)</f>
        <v>694731140</v>
      </c>
      <c r="H187" s="60">
        <f t="shared" si="171"/>
        <v>0</v>
      </c>
      <c r="I187" s="60">
        <f t="shared" si="171"/>
        <v>0</v>
      </c>
      <c r="J187" s="60">
        <f t="shared" si="134"/>
        <v>694731140</v>
      </c>
      <c r="K187" s="60">
        <f t="shared" ref="K187:M187" si="172">SUM(K188:K196)</f>
        <v>0</v>
      </c>
      <c r="L187" s="60">
        <f t="shared" si="172"/>
        <v>0</v>
      </c>
      <c r="M187" s="60">
        <f t="shared" si="172"/>
        <v>0</v>
      </c>
      <c r="N187" s="60">
        <f t="shared" si="132"/>
        <v>0</v>
      </c>
      <c r="O187" s="60">
        <f t="shared" si="165"/>
        <v>694731140</v>
      </c>
      <c r="P187" s="60">
        <f t="shared" si="166"/>
        <v>0</v>
      </c>
      <c r="Q187" s="60">
        <f t="shared" si="167"/>
        <v>0</v>
      </c>
      <c r="R187" s="60">
        <f t="shared" si="168"/>
        <v>694731140</v>
      </c>
      <c r="S187" s="84">
        <f t="shared" si="135"/>
        <v>78.622008254755244</v>
      </c>
      <c r="T187" s="84">
        <v>0</v>
      </c>
      <c r="U187" s="84">
        <v>0</v>
      </c>
      <c r="V187" s="84">
        <f t="shared" si="136"/>
        <v>78.622008254755244</v>
      </c>
      <c r="W187" s="60">
        <f t="shared" si="133"/>
        <v>188903297</v>
      </c>
      <c r="X187" s="247">
        <f t="shared" si="145"/>
        <v>694731140</v>
      </c>
      <c r="Y187" s="247">
        <f t="shared" si="143"/>
        <v>0</v>
      </c>
      <c r="Z187" s="247">
        <f t="shared" si="144"/>
        <v>0</v>
      </c>
      <c r="AA187" s="93"/>
    </row>
    <row r="188" spans="1:27">
      <c r="A188" s="97" t="s">
        <v>123</v>
      </c>
      <c r="B188" s="97" t="s">
        <v>391</v>
      </c>
      <c r="C188" s="98">
        <v>87075337</v>
      </c>
      <c r="D188" s="46">
        <v>0</v>
      </c>
      <c r="E188" s="46">
        <v>0</v>
      </c>
      <c r="F188" s="46">
        <f t="shared" si="146"/>
        <v>87075337</v>
      </c>
      <c r="G188" s="47">
        <v>86580000</v>
      </c>
      <c r="H188" s="47">
        <v>0</v>
      </c>
      <c r="I188" s="47">
        <v>0</v>
      </c>
      <c r="J188" s="47">
        <f t="shared" si="134"/>
        <v>86580000</v>
      </c>
      <c r="K188" s="47"/>
      <c r="L188" s="47"/>
      <c r="M188" s="47"/>
      <c r="N188" s="47">
        <f t="shared" si="132"/>
        <v>0</v>
      </c>
      <c r="O188" s="47">
        <f t="shared" si="165"/>
        <v>86580000</v>
      </c>
      <c r="P188" s="47">
        <f t="shared" si="166"/>
        <v>0</v>
      </c>
      <c r="Q188" s="47">
        <f t="shared" si="167"/>
        <v>0</v>
      </c>
      <c r="R188" s="47">
        <f t="shared" si="168"/>
        <v>86580000</v>
      </c>
      <c r="S188" s="79">
        <f t="shared" si="135"/>
        <v>99.431139726740298</v>
      </c>
      <c r="T188" s="79">
        <v>0</v>
      </c>
      <c r="U188" s="79">
        <v>0</v>
      </c>
      <c r="V188" s="79">
        <f t="shared" si="136"/>
        <v>99.431139726740298</v>
      </c>
      <c r="W188" s="47">
        <f t="shared" si="133"/>
        <v>495337</v>
      </c>
      <c r="X188" s="247">
        <f t="shared" si="145"/>
        <v>86580000</v>
      </c>
      <c r="Y188" s="247">
        <f t="shared" si="143"/>
        <v>0</v>
      </c>
      <c r="Z188" s="247">
        <f t="shared" si="144"/>
        <v>0</v>
      </c>
      <c r="AA188" s="93"/>
    </row>
    <row r="189" spans="1:27">
      <c r="A189" s="97" t="s">
        <v>128</v>
      </c>
      <c r="B189" s="97" t="s">
        <v>113</v>
      </c>
      <c r="C189" s="98">
        <v>23160300</v>
      </c>
      <c r="D189" s="46">
        <v>0</v>
      </c>
      <c r="E189" s="46">
        <v>0</v>
      </c>
      <c r="F189" s="46">
        <f t="shared" si="146"/>
        <v>23160300</v>
      </c>
      <c r="G189" s="47">
        <v>11733250</v>
      </c>
      <c r="H189" s="47">
        <v>0</v>
      </c>
      <c r="I189" s="47">
        <v>0</v>
      </c>
      <c r="J189" s="47">
        <f t="shared" si="134"/>
        <v>11733250</v>
      </c>
      <c r="K189" s="47"/>
      <c r="L189" s="47"/>
      <c r="M189" s="47"/>
      <c r="N189" s="47">
        <f t="shared" si="132"/>
        <v>0</v>
      </c>
      <c r="O189" s="47">
        <f t="shared" si="165"/>
        <v>11733250</v>
      </c>
      <c r="P189" s="47">
        <f t="shared" si="166"/>
        <v>0</v>
      </c>
      <c r="Q189" s="47">
        <f t="shared" si="167"/>
        <v>0</v>
      </c>
      <c r="R189" s="47">
        <f t="shared" si="168"/>
        <v>11733250</v>
      </c>
      <c r="S189" s="79">
        <f t="shared" si="135"/>
        <v>50.661044977828439</v>
      </c>
      <c r="T189" s="79">
        <v>0</v>
      </c>
      <c r="U189" s="79">
        <v>0</v>
      </c>
      <c r="V189" s="79">
        <f t="shared" si="136"/>
        <v>50.661044977828439</v>
      </c>
      <c r="W189" s="47">
        <f t="shared" si="133"/>
        <v>11427050</v>
      </c>
      <c r="X189" s="247">
        <f t="shared" si="145"/>
        <v>11733250</v>
      </c>
      <c r="Y189" s="247">
        <f t="shared" si="143"/>
        <v>0</v>
      </c>
      <c r="Z189" s="247">
        <f t="shared" si="144"/>
        <v>0</v>
      </c>
      <c r="AA189" s="93"/>
    </row>
    <row r="190" spans="1:27">
      <c r="A190" s="97" t="s">
        <v>227</v>
      </c>
      <c r="B190" s="97" t="s">
        <v>115</v>
      </c>
      <c r="C190" s="98">
        <v>18216800</v>
      </c>
      <c r="D190" s="46">
        <v>0</v>
      </c>
      <c r="E190" s="46">
        <v>0</v>
      </c>
      <c r="F190" s="46">
        <f t="shared" si="146"/>
        <v>18216800</v>
      </c>
      <c r="G190" s="47">
        <v>8207340</v>
      </c>
      <c r="H190" s="47">
        <v>0</v>
      </c>
      <c r="I190" s="47">
        <v>0</v>
      </c>
      <c r="J190" s="47">
        <f t="shared" si="134"/>
        <v>8207340</v>
      </c>
      <c r="K190" s="47"/>
      <c r="L190" s="47"/>
      <c r="M190" s="47"/>
      <c r="N190" s="47">
        <f t="shared" si="132"/>
        <v>0</v>
      </c>
      <c r="O190" s="47">
        <f t="shared" si="165"/>
        <v>8207340</v>
      </c>
      <c r="P190" s="47">
        <f t="shared" si="166"/>
        <v>0</v>
      </c>
      <c r="Q190" s="47">
        <f t="shared" si="167"/>
        <v>0</v>
      </c>
      <c r="R190" s="47">
        <f t="shared" si="168"/>
        <v>8207340</v>
      </c>
      <c r="S190" s="79">
        <f t="shared" si="135"/>
        <v>45.053686706776162</v>
      </c>
      <c r="T190" s="79">
        <v>0</v>
      </c>
      <c r="U190" s="79">
        <v>0</v>
      </c>
      <c r="V190" s="79">
        <f t="shared" si="136"/>
        <v>45.053686706776162</v>
      </c>
      <c r="W190" s="47">
        <f t="shared" si="133"/>
        <v>10009460</v>
      </c>
      <c r="X190" s="247">
        <f t="shared" si="145"/>
        <v>8207340</v>
      </c>
      <c r="Y190" s="247">
        <f t="shared" si="143"/>
        <v>0</v>
      </c>
      <c r="Z190" s="247">
        <f t="shared" si="144"/>
        <v>0</v>
      </c>
      <c r="AA190" s="93"/>
    </row>
    <row r="191" spans="1:27">
      <c r="A191" s="97" t="s">
        <v>393</v>
      </c>
      <c r="B191" s="97" t="s">
        <v>394</v>
      </c>
      <c r="C191" s="98">
        <v>20000000</v>
      </c>
      <c r="D191" s="46">
        <v>0</v>
      </c>
      <c r="E191" s="46">
        <v>0</v>
      </c>
      <c r="F191" s="46">
        <f t="shared" si="146"/>
        <v>20000000</v>
      </c>
      <c r="G191" s="47">
        <v>19980000</v>
      </c>
      <c r="H191" s="47">
        <v>0</v>
      </c>
      <c r="I191" s="47">
        <v>0</v>
      </c>
      <c r="J191" s="47">
        <f t="shared" si="134"/>
        <v>19980000</v>
      </c>
      <c r="K191" s="47"/>
      <c r="L191" s="47"/>
      <c r="M191" s="47"/>
      <c r="N191" s="47">
        <f t="shared" si="132"/>
        <v>0</v>
      </c>
      <c r="O191" s="47">
        <f t="shared" si="165"/>
        <v>19980000</v>
      </c>
      <c r="P191" s="47">
        <f t="shared" si="166"/>
        <v>0</v>
      </c>
      <c r="Q191" s="47">
        <f t="shared" si="167"/>
        <v>0</v>
      </c>
      <c r="R191" s="47">
        <f t="shared" si="168"/>
        <v>19980000</v>
      </c>
      <c r="S191" s="79">
        <f t="shared" si="135"/>
        <v>99.9</v>
      </c>
      <c r="T191" s="79">
        <v>0</v>
      </c>
      <c r="U191" s="79">
        <v>0</v>
      </c>
      <c r="V191" s="79">
        <f t="shared" si="136"/>
        <v>99.9</v>
      </c>
      <c r="W191" s="47">
        <f t="shared" si="133"/>
        <v>20000</v>
      </c>
      <c r="X191" s="247">
        <f t="shared" si="145"/>
        <v>19980000</v>
      </c>
      <c r="Y191" s="247">
        <f t="shared" si="143"/>
        <v>0</v>
      </c>
      <c r="Z191" s="247">
        <f t="shared" si="144"/>
        <v>0</v>
      </c>
      <c r="AA191" s="93"/>
    </row>
    <row r="192" spans="1:27">
      <c r="A192" s="97" t="s">
        <v>124</v>
      </c>
      <c r="B192" s="97" t="s">
        <v>125</v>
      </c>
      <c r="C192" s="98">
        <v>229110000</v>
      </c>
      <c r="D192" s="46">
        <v>0</v>
      </c>
      <c r="E192" s="46">
        <v>0</v>
      </c>
      <c r="F192" s="46">
        <f t="shared" si="146"/>
        <v>229110000</v>
      </c>
      <c r="G192" s="47">
        <v>202060000</v>
      </c>
      <c r="H192" s="47">
        <v>0</v>
      </c>
      <c r="I192" s="47">
        <v>0</v>
      </c>
      <c r="J192" s="47">
        <f t="shared" si="134"/>
        <v>202060000</v>
      </c>
      <c r="K192" s="47"/>
      <c r="L192" s="47"/>
      <c r="M192" s="47"/>
      <c r="N192" s="47">
        <f t="shared" si="132"/>
        <v>0</v>
      </c>
      <c r="O192" s="47">
        <f t="shared" si="165"/>
        <v>202060000</v>
      </c>
      <c r="P192" s="47">
        <f t="shared" si="166"/>
        <v>0</v>
      </c>
      <c r="Q192" s="47">
        <f t="shared" si="167"/>
        <v>0</v>
      </c>
      <c r="R192" s="47">
        <f t="shared" si="168"/>
        <v>202060000</v>
      </c>
      <c r="S192" s="79">
        <f t="shared" si="135"/>
        <v>88.193444197110566</v>
      </c>
      <c r="T192" s="79">
        <v>0</v>
      </c>
      <c r="U192" s="79">
        <v>0</v>
      </c>
      <c r="V192" s="79">
        <f t="shared" si="136"/>
        <v>88.193444197110566</v>
      </c>
      <c r="W192" s="47">
        <f t="shared" si="133"/>
        <v>27050000</v>
      </c>
      <c r="X192" s="247">
        <f t="shared" si="145"/>
        <v>202060000</v>
      </c>
      <c r="Y192" s="247">
        <f t="shared" si="143"/>
        <v>0</v>
      </c>
      <c r="Z192" s="247">
        <f t="shared" si="144"/>
        <v>0</v>
      </c>
      <c r="AA192" s="93"/>
    </row>
    <row r="193" spans="1:27">
      <c r="A193" s="97" t="s">
        <v>137</v>
      </c>
      <c r="B193" s="97" t="s">
        <v>138</v>
      </c>
      <c r="C193" s="98">
        <v>37300000</v>
      </c>
      <c r="D193" s="46">
        <v>0</v>
      </c>
      <c r="E193" s="46">
        <v>0</v>
      </c>
      <c r="F193" s="46">
        <f t="shared" si="146"/>
        <v>37300000</v>
      </c>
      <c r="G193" s="47">
        <v>29850000</v>
      </c>
      <c r="H193" s="47">
        <v>0</v>
      </c>
      <c r="I193" s="47">
        <v>0</v>
      </c>
      <c r="J193" s="47">
        <f t="shared" si="134"/>
        <v>29850000</v>
      </c>
      <c r="K193" s="47"/>
      <c r="L193" s="47"/>
      <c r="M193" s="47"/>
      <c r="N193" s="47">
        <f t="shared" si="132"/>
        <v>0</v>
      </c>
      <c r="O193" s="47">
        <f t="shared" si="165"/>
        <v>29850000</v>
      </c>
      <c r="P193" s="47">
        <f t="shared" si="166"/>
        <v>0</v>
      </c>
      <c r="Q193" s="47">
        <f t="shared" si="167"/>
        <v>0</v>
      </c>
      <c r="R193" s="47">
        <f t="shared" si="168"/>
        <v>29850000</v>
      </c>
      <c r="S193" s="79">
        <f t="shared" si="135"/>
        <v>80.026809651474522</v>
      </c>
      <c r="T193" s="79">
        <v>0</v>
      </c>
      <c r="U193" s="79">
        <v>0</v>
      </c>
      <c r="V193" s="79">
        <f t="shared" si="136"/>
        <v>80.026809651474522</v>
      </c>
      <c r="W193" s="47">
        <f t="shared" si="133"/>
        <v>7450000</v>
      </c>
      <c r="X193" s="247">
        <f t="shared" si="145"/>
        <v>29850000</v>
      </c>
      <c r="Y193" s="247">
        <f t="shared" si="143"/>
        <v>0</v>
      </c>
      <c r="Z193" s="247">
        <f t="shared" si="144"/>
        <v>0</v>
      </c>
      <c r="AA193" s="93"/>
    </row>
    <row r="194" spans="1:27">
      <c r="A194" s="97" t="s">
        <v>277</v>
      </c>
      <c r="B194" s="97" t="s">
        <v>430</v>
      </c>
      <c r="C194" s="98">
        <v>39400000</v>
      </c>
      <c r="D194" s="46">
        <v>0</v>
      </c>
      <c r="E194" s="46">
        <v>0</v>
      </c>
      <c r="F194" s="46">
        <f t="shared" si="146"/>
        <v>39400000</v>
      </c>
      <c r="G194" s="47">
        <v>0</v>
      </c>
      <c r="H194" s="47">
        <v>0</v>
      </c>
      <c r="I194" s="47">
        <v>0</v>
      </c>
      <c r="J194" s="47">
        <f t="shared" si="134"/>
        <v>0</v>
      </c>
      <c r="K194" s="47"/>
      <c r="L194" s="47"/>
      <c r="M194" s="47"/>
      <c r="N194" s="47">
        <f t="shared" si="132"/>
        <v>0</v>
      </c>
      <c r="O194" s="47">
        <f t="shared" si="165"/>
        <v>0</v>
      </c>
      <c r="P194" s="47">
        <f t="shared" si="166"/>
        <v>0</v>
      </c>
      <c r="Q194" s="47">
        <f t="shared" si="167"/>
        <v>0</v>
      </c>
      <c r="R194" s="47">
        <f t="shared" si="168"/>
        <v>0</v>
      </c>
      <c r="S194" s="79">
        <f t="shared" si="135"/>
        <v>0</v>
      </c>
      <c r="T194" s="79">
        <v>0</v>
      </c>
      <c r="U194" s="79">
        <v>0</v>
      </c>
      <c r="V194" s="79">
        <f t="shared" si="136"/>
        <v>0</v>
      </c>
      <c r="W194" s="47">
        <f t="shared" si="133"/>
        <v>39400000</v>
      </c>
      <c r="X194" s="247">
        <f t="shared" si="145"/>
        <v>0</v>
      </c>
      <c r="Y194" s="247">
        <f t="shared" si="143"/>
        <v>0</v>
      </c>
      <c r="Z194" s="247">
        <f t="shared" si="144"/>
        <v>0</v>
      </c>
      <c r="AA194" s="93"/>
    </row>
    <row r="195" spans="1:27">
      <c r="A195" s="97" t="s">
        <v>431</v>
      </c>
      <c r="B195" s="97" t="s">
        <v>432</v>
      </c>
      <c r="C195" s="98">
        <v>5772000</v>
      </c>
      <c r="D195" s="46">
        <v>0</v>
      </c>
      <c r="E195" s="46">
        <v>0</v>
      </c>
      <c r="F195" s="46">
        <f t="shared" si="146"/>
        <v>5772000</v>
      </c>
      <c r="G195" s="47">
        <v>0</v>
      </c>
      <c r="H195" s="47">
        <v>0</v>
      </c>
      <c r="I195" s="47">
        <v>0</v>
      </c>
      <c r="J195" s="47">
        <f t="shared" si="134"/>
        <v>0</v>
      </c>
      <c r="K195" s="47"/>
      <c r="L195" s="47"/>
      <c r="M195" s="47"/>
      <c r="N195" s="47">
        <f t="shared" si="132"/>
        <v>0</v>
      </c>
      <c r="O195" s="47">
        <f t="shared" si="165"/>
        <v>0</v>
      </c>
      <c r="P195" s="47">
        <f t="shared" si="166"/>
        <v>0</v>
      </c>
      <c r="Q195" s="47">
        <f t="shared" si="167"/>
        <v>0</v>
      </c>
      <c r="R195" s="47">
        <f t="shared" si="168"/>
        <v>0</v>
      </c>
      <c r="S195" s="79">
        <f t="shared" si="135"/>
        <v>0</v>
      </c>
      <c r="T195" s="79">
        <v>0</v>
      </c>
      <c r="U195" s="79">
        <v>0</v>
      </c>
      <c r="V195" s="79">
        <f t="shared" si="136"/>
        <v>0</v>
      </c>
      <c r="W195" s="47">
        <f t="shared" si="133"/>
        <v>5772000</v>
      </c>
      <c r="X195" s="247">
        <f t="shared" si="145"/>
        <v>0</v>
      </c>
      <c r="Y195" s="247">
        <f t="shared" si="143"/>
        <v>0</v>
      </c>
      <c r="Z195" s="247">
        <f t="shared" si="144"/>
        <v>0</v>
      </c>
      <c r="AA195" s="93"/>
    </row>
    <row r="196" spans="1:27">
      <c r="A196" s="97" t="s">
        <v>100</v>
      </c>
      <c r="B196" s="97" t="s">
        <v>101</v>
      </c>
      <c r="C196" s="98">
        <v>423600000</v>
      </c>
      <c r="D196" s="46">
        <v>0</v>
      </c>
      <c r="E196" s="46">
        <v>0</v>
      </c>
      <c r="F196" s="46">
        <f t="shared" si="146"/>
        <v>423600000</v>
      </c>
      <c r="G196" s="47">
        <v>336320550</v>
      </c>
      <c r="H196" s="47">
        <v>0</v>
      </c>
      <c r="I196" s="47">
        <v>0</v>
      </c>
      <c r="J196" s="47">
        <f t="shared" si="134"/>
        <v>336320550</v>
      </c>
      <c r="K196" s="47"/>
      <c r="L196" s="47"/>
      <c r="M196" s="47"/>
      <c r="N196" s="47">
        <f t="shared" si="132"/>
        <v>0</v>
      </c>
      <c r="O196" s="47">
        <f t="shared" si="165"/>
        <v>336320550</v>
      </c>
      <c r="P196" s="47">
        <f t="shared" si="166"/>
        <v>0</v>
      </c>
      <c r="Q196" s="47">
        <f t="shared" si="167"/>
        <v>0</v>
      </c>
      <c r="R196" s="47">
        <f t="shared" si="168"/>
        <v>336320550</v>
      </c>
      <c r="S196" s="79">
        <f t="shared" si="135"/>
        <v>79.395786118980169</v>
      </c>
      <c r="T196" s="79">
        <v>0</v>
      </c>
      <c r="U196" s="79">
        <v>0</v>
      </c>
      <c r="V196" s="79">
        <f t="shared" si="136"/>
        <v>79.395786118980169</v>
      </c>
      <c r="W196" s="47">
        <f t="shared" si="133"/>
        <v>87279450</v>
      </c>
      <c r="X196" s="247">
        <f t="shared" si="145"/>
        <v>336320550</v>
      </c>
      <c r="Y196" s="247">
        <f t="shared" si="143"/>
        <v>0</v>
      </c>
      <c r="Z196" s="247">
        <f t="shared" si="144"/>
        <v>0</v>
      </c>
      <c r="AA196" s="93"/>
    </row>
    <row r="197" spans="1:27" s="5" customFormat="1">
      <c r="A197" s="96" t="s">
        <v>437</v>
      </c>
      <c r="B197" s="96" t="s">
        <v>438</v>
      </c>
      <c r="C197" s="60">
        <f>SUM(C198:C201)</f>
        <v>77722580</v>
      </c>
      <c r="D197" s="60">
        <f>SUM(D198:D201)</f>
        <v>0</v>
      </c>
      <c r="E197" s="60">
        <f>SUM(E198:E201)</f>
        <v>0</v>
      </c>
      <c r="F197" s="60">
        <f t="shared" si="146"/>
        <v>77722580</v>
      </c>
      <c r="G197" s="60">
        <f>SUM(G198:G201)</f>
        <v>40310375</v>
      </c>
      <c r="H197" s="60">
        <f>SUM(H198:H202)</f>
        <v>0</v>
      </c>
      <c r="I197" s="60">
        <f>SUM(I198:I202)</f>
        <v>0</v>
      </c>
      <c r="J197" s="60">
        <f t="shared" si="134"/>
        <v>40310375</v>
      </c>
      <c r="K197" s="60">
        <f>SUM(K198:K201)</f>
        <v>0</v>
      </c>
      <c r="L197" s="60">
        <f>SUM(L198:L201)</f>
        <v>0</v>
      </c>
      <c r="M197" s="60">
        <f>SUM(M198:M201)</f>
        <v>0</v>
      </c>
      <c r="N197" s="60">
        <f t="shared" si="132"/>
        <v>0</v>
      </c>
      <c r="O197" s="60">
        <f t="shared" si="165"/>
        <v>40310375</v>
      </c>
      <c r="P197" s="60">
        <f t="shared" si="166"/>
        <v>0</v>
      </c>
      <c r="Q197" s="60">
        <f t="shared" si="167"/>
        <v>0</v>
      </c>
      <c r="R197" s="60">
        <f t="shared" si="168"/>
        <v>40310375</v>
      </c>
      <c r="S197" s="84">
        <f t="shared" si="135"/>
        <v>51.864432446787021</v>
      </c>
      <c r="T197" s="84">
        <v>0</v>
      </c>
      <c r="U197" s="84">
        <v>0</v>
      </c>
      <c r="V197" s="84">
        <f t="shared" si="136"/>
        <v>51.864432446787021</v>
      </c>
      <c r="W197" s="60">
        <f t="shared" si="133"/>
        <v>37412205</v>
      </c>
      <c r="X197" s="247">
        <f t="shared" si="145"/>
        <v>40310375</v>
      </c>
      <c r="Y197" s="247">
        <f t="shared" si="143"/>
        <v>0</v>
      </c>
      <c r="Z197" s="247">
        <f t="shared" si="144"/>
        <v>0</v>
      </c>
      <c r="AA197" s="93"/>
    </row>
    <row r="198" spans="1:27">
      <c r="A198" s="97" t="s">
        <v>373</v>
      </c>
      <c r="B198" s="97" t="s">
        <v>374</v>
      </c>
      <c r="C198" s="98">
        <v>1348000</v>
      </c>
      <c r="D198" s="46">
        <v>0</v>
      </c>
      <c r="E198" s="46">
        <v>0</v>
      </c>
      <c r="F198" s="46">
        <f t="shared" si="146"/>
        <v>1348000</v>
      </c>
      <c r="G198" s="47">
        <v>1348000</v>
      </c>
      <c r="H198" s="47">
        <v>0</v>
      </c>
      <c r="I198" s="47">
        <v>0</v>
      </c>
      <c r="J198" s="47">
        <f t="shared" si="134"/>
        <v>1348000</v>
      </c>
      <c r="K198" s="47"/>
      <c r="L198" s="47"/>
      <c r="M198" s="47"/>
      <c r="N198" s="47">
        <f t="shared" si="132"/>
        <v>0</v>
      </c>
      <c r="O198" s="47">
        <f t="shared" si="165"/>
        <v>1348000</v>
      </c>
      <c r="P198" s="47">
        <f t="shared" si="166"/>
        <v>0</v>
      </c>
      <c r="Q198" s="47">
        <f t="shared" si="167"/>
        <v>0</v>
      </c>
      <c r="R198" s="47">
        <f t="shared" si="168"/>
        <v>1348000</v>
      </c>
      <c r="S198" s="79">
        <f t="shared" si="135"/>
        <v>100</v>
      </c>
      <c r="T198" s="79">
        <v>0</v>
      </c>
      <c r="U198" s="79">
        <v>0</v>
      </c>
      <c r="V198" s="79">
        <f t="shared" si="136"/>
        <v>100</v>
      </c>
      <c r="W198" s="47">
        <f t="shared" si="133"/>
        <v>0</v>
      </c>
      <c r="X198" s="247">
        <f t="shared" si="145"/>
        <v>1348000</v>
      </c>
      <c r="Y198" s="247">
        <f t="shared" si="143"/>
        <v>0</v>
      </c>
      <c r="Z198" s="247">
        <f t="shared" si="144"/>
        <v>0</v>
      </c>
      <c r="AA198" s="93"/>
    </row>
    <row r="199" spans="1:27">
      <c r="A199" s="97" t="s">
        <v>112</v>
      </c>
      <c r="B199" s="97" t="s">
        <v>439</v>
      </c>
      <c r="C199" s="98">
        <v>7254580</v>
      </c>
      <c r="D199" s="46">
        <v>0</v>
      </c>
      <c r="E199" s="46">
        <v>0</v>
      </c>
      <c r="F199" s="46">
        <f t="shared" si="146"/>
        <v>7254580</v>
      </c>
      <c r="G199" s="47">
        <v>3070875</v>
      </c>
      <c r="H199" s="47">
        <v>0</v>
      </c>
      <c r="I199" s="47">
        <v>0</v>
      </c>
      <c r="J199" s="47">
        <f t="shared" si="134"/>
        <v>3070875</v>
      </c>
      <c r="K199" s="47"/>
      <c r="L199" s="47"/>
      <c r="M199" s="47"/>
      <c r="N199" s="47">
        <f t="shared" si="132"/>
        <v>0</v>
      </c>
      <c r="O199" s="47">
        <f t="shared" si="165"/>
        <v>3070875</v>
      </c>
      <c r="P199" s="47">
        <f t="shared" si="166"/>
        <v>0</v>
      </c>
      <c r="Q199" s="47">
        <f t="shared" si="167"/>
        <v>0</v>
      </c>
      <c r="R199" s="47">
        <f t="shared" si="168"/>
        <v>3070875</v>
      </c>
      <c r="S199" s="79">
        <f t="shared" si="135"/>
        <v>42.330155570687758</v>
      </c>
      <c r="T199" s="79">
        <v>0</v>
      </c>
      <c r="U199" s="79">
        <v>0</v>
      </c>
      <c r="V199" s="79">
        <f t="shared" si="136"/>
        <v>42.330155570687758</v>
      </c>
      <c r="W199" s="47">
        <f t="shared" si="133"/>
        <v>4183705</v>
      </c>
      <c r="X199" s="247">
        <f t="shared" si="145"/>
        <v>3070875</v>
      </c>
      <c r="Y199" s="247">
        <f t="shared" si="143"/>
        <v>0</v>
      </c>
      <c r="Z199" s="247">
        <f t="shared" si="144"/>
        <v>0</v>
      </c>
      <c r="AA199" s="93"/>
    </row>
    <row r="200" spans="1:27">
      <c r="A200" s="97" t="s">
        <v>275</v>
      </c>
      <c r="B200" s="97" t="s">
        <v>440</v>
      </c>
      <c r="C200" s="98">
        <v>1920000</v>
      </c>
      <c r="D200" s="46">
        <v>0</v>
      </c>
      <c r="E200" s="46">
        <v>0</v>
      </c>
      <c r="F200" s="46">
        <f t="shared" si="146"/>
        <v>1920000</v>
      </c>
      <c r="G200" s="47">
        <v>0</v>
      </c>
      <c r="H200" s="47">
        <v>0</v>
      </c>
      <c r="I200" s="47">
        <v>0</v>
      </c>
      <c r="J200" s="47">
        <f t="shared" si="134"/>
        <v>0</v>
      </c>
      <c r="K200" s="47"/>
      <c r="L200" s="47"/>
      <c r="M200" s="47"/>
      <c r="N200" s="47">
        <f t="shared" si="132"/>
        <v>0</v>
      </c>
      <c r="O200" s="47">
        <f t="shared" si="165"/>
        <v>0</v>
      </c>
      <c r="P200" s="47">
        <f t="shared" si="166"/>
        <v>0</v>
      </c>
      <c r="Q200" s="47">
        <f t="shared" si="167"/>
        <v>0</v>
      </c>
      <c r="R200" s="47">
        <f t="shared" si="168"/>
        <v>0</v>
      </c>
      <c r="S200" s="79">
        <f t="shared" si="135"/>
        <v>0</v>
      </c>
      <c r="T200" s="79">
        <v>0</v>
      </c>
      <c r="U200" s="79">
        <v>0</v>
      </c>
      <c r="V200" s="79">
        <f t="shared" si="136"/>
        <v>0</v>
      </c>
      <c r="W200" s="47">
        <f t="shared" si="133"/>
        <v>1920000</v>
      </c>
      <c r="X200" s="247">
        <f t="shared" si="145"/>
        <v>0</v>
      </c>
      <c r="Y200" s="247">
        <f t="shared" si="143"/>
        <v>0</v>
      </c>
      <c r="Z200" s="247">
        <f t="shared" si="144"/>
        <v>0</v>
      </c>
      <c r="AA200" s="93"/>
    </row>
    <row r="201" spans="1:27">
      <c r="A201" s="97" t="s">
        <v>278</v>
      </c>
      <c r="B201" s="97" t="s">
        <v>441</v>
      </c>
      <c r="C201" s="98">
        <v>67200000</v>
      </c>
      <c r="D201" s="46">
        <v>0</v>
      </c>
      <c r="E201" s="46">
        <v>0</v>
      </c>
      <c r="F201" s="46">
        <f t="shared" si="146"/>
        <v>67200000</v>
      </c>
      <c r="G201" s="47">
        <v>35891500</v>
      </c>
      <c r="H201" s="47">
        <v>0</v>
      </c>
      <c r="I201" s="47">
        <v>0</v>
      </c>
      <c r="J201" s="47">
        <f t="shared" si="134"/>
        <v>35891500</v>
      </c>
      <c r="K201" s="47"/>
      <c r="L201" s="47"/>
      <c r="M201" s="47"/>
      <c r="N201" s="47">
        <f t="shared" si="132"/>
        <v>0</v>
      </c>
      <c r="O201" s="47">
        <f t="shared" si="165"/>
        <v>35891500</v>
      </c>
      <c r="P201" s="47">
        <f t="shared" si="166"/>
        <v>0</v>
      </c>
      <c r="Q201" s="47">
        <f t="shared" si="167"/>
        <v>0</v>
      </c>
      <c r="R201" s="47">
        <f t="shared" si="168"/>
        <v>35891500</v>
      </c>
      <c r="S201" s="79">
        <f t="shared" si="135"/>
        <v>53.409970238095241</v>
      </c>
      <c r="T201" s="79">
        <v>0</v>
      </c>
      <c r="U201" s="79">
        <v>0</v>
      </c>
      <c r="V201" s="79">
        <f t="shared" si="136"/>
        <v>53.409970238095241</v>
      </c>
      <c r="W201" s="47">
        <f t="shared" si="133"/>
        <v>31308500</v>
      </c>
      <c r="X201" s="247">
        <f t="shared" si="145"/>
        <v>35891500</v>
      </c>
      <c r="Y201" s="247">
        <f t="shared" si="143"/>
        <v>0</v>
      </c>
      <c r="Z201" s="247">
        <f t="shared" si="144"/>
        <v>0</v>
      </c>
      <c r="AA201" s="93"/>
    </row>
    <row r="202" spans="1:27" s="5" customFormat="1">
      <c r="A202" s="96" t="s">
        <v>442</v>
      </c>
      <c r="B202" s="96" t="s">
        <v>443</v>
      </c>
      <c r="C202" s="60">
        <f>SUM(C203:C204)</f>
        <v>8730800</v>
      </c>
      <c r="D202" s="60">
        <f>SUM(D203:D204)</f>
        <v>0</v>
      </c>
      <c r="E202" s="60">
        <f>SUM(E203:E204)</f>
        <v>0</v>
      </c>
      <c r="F202" s="60">
        <f t="shared" si="146"/>
        <v>8730800</v>
      </c>
      <c r="G202" s="60">
        <f>SUM(G203:G204)</f>
        <v>5337505</v>
      </c>
      <c r="H202" s="60">
        <f>SUM(H203:H207)</f>
        <v>0</v>
      </c>
      <c r="I202" s="60">
        <f>SUM(I203:I207)</f>
        <v>0</v>
      </c>
      <c r="J202" s="60">
        <f t="shared" si="134"/>
        <v>5337505</v>
      </c>
      <c r="K202" s="60">
        <f>SUM(K203:K204)</f>
        <v>0</v>
      </c>
      <c r="L202" s="60">
        <f>SUM(L203:L204)</f>
        <v>0</v>
      </c>
      <c r="M202" s="60">
        <f>SUM(M203:M204)</f>
        <v>0</v>
      </c>
      <c r="N202" s="60">
        <f t="shared" si="132"/>
        <v>0</v>
      </c>
      <c r="O202" s="60">
        <f t="shared" si="165"/>
        <v>5337505</v>
      </c>
      <c r="P202" s="60">
        <f t="shared" si="166"/>
        <v>0</v>
      </c>
      <c r="Q202" s="60">
        <f t="shared" si="167"/>
        <v>0</v>
      </c>
      <c r="R202" s="60">
        <f t="shared" si="168"/>
        <v>5337505</v>
      </c>
      <c r="S202" s="84">
        <f t="shared" si="135"/>
        <v>61.13420305126678</v>
      </c>
      <c r="T202" s="84">
        <v>0</v>
      </c>
      <c r="U202" s="84">
        <v>0</v>
      </c>
      <c r="V202" s="84">
        <f t="shared" si="136"/>
        <v>61.13420305126678</v>
      </c>
      <c r="W202" s="60">
        <f t="shared" si="133"/>
        <v>3393295</v>
      </c>
      <c r="X202" s="247">
        <f t="shared" si="145"/>
        <v>5337505</v>
      </c>
      <c r="Y202" s="247">
        <f t="shared" si="143"/>
        <v>0</v>
      </c>
      <c r="Z202" s="247">
        <f t="shared" si="144"/>
        <v>0</v>
      </c>
      <c r="AA202" s="93"/>
    </row>
    <row r="203" spans="1:27">
      <c r="A203" s="97" t="s">
        <v>373</v>
      </c>
      <c r="B203" s="97" t="s">
        <v>374</v>
      </c>
      <c r="C203" s="98">
        <v>2156800</v>
      </c>
      <c r="D203" s="46">
        <v>0</v>
      </c>
      <c r="E203" s="46">
        <v>0</v>
      </c>
      <c r="F203" s="46">
        <f t="shared" si="146"/>
        <v>2156800</v>
      </c>
      <c r="G203" s="47">
        <v>2156800</v>
      </c>
      <c r="H203" s="47">
        <v>0</v>
      </c>
      <c r="I203" s="47">
        <v>0</v>
      </c>
      <c r="J203" s="47">
        <f t="shared" si="134"/>
        <v>2156800</v>
      </c>
      <c r="K203" s="47"/>
      <c r="L203" s="47"/>
      <c r="M203" s="47"/>
      <c r="N203" s="47">
        <f t="shared" si="132"/>
        <v>0</v>
      </c>
      <c r="O203" s="47">
        <f t="shared" si="165"/>
        <v>2156800</v>
      </c>
      <c r="P203" s="47">
        <f t="shared" si="166"/>
        <v>0</v>
      </c>
      <c r="Q203" s="47">
        <f t="shared" si="167"/>
        <v>0</v>
      </c>
      <c r="R203" s="47">
        <f t="shared" si="168"/>
        <v>2156800</v>
      </c>
      <c r="S203" s="79">
        <f t="shared" si="135"/>
        <v>100</v>
      </c>
      <c r="T203" s="79">
        <v>0</v>
      </c>
      <c r="U203" s="79">
        <v>0</v>
      </c>
      <c r="V203" s="79">
        <f t="shared" si="136"/>
        <v>100</v>
      </c>
      <c r="W203" s="47">
        <f t="shared" si="133"/>
        <v>0</v>
      </c>
      <c r="X203" s="247">
        <f t="shared" si="145"/>
        <v>2156800</v>
      </c>
      <c r="Y203" s="247">
        <f t="shared" si="143"/>
        <v>0</v>
      </c>
      <c r="Z203" s="247">
        <f t="shared" si="144"/>
        <v>0</v>
      </c>
      <c r="AA203" s="93"/>
    </row>
    <row r="204" spans="1:27">
      <c r="A204" s="97" t="s">
        <v>112</v>
      </c>
      <c r="B204" s="97" t="s">
        <v>439</v>
      </c>
      <c r="C204" s="98">
        <v>6574000</v>
      </c>
      <c r="D204" s="46">
        <v>0</v>
      </c>
      <c r="E204" s="46">
        <v>0</v>
      </c>
      <c r="F204" s="46">
        <f t="shared" si="146"/>
        <v>6574000</v>
      </c>
      <c r="G204" s="47">
        <v>3180705</v>
      </c>
      <c r="H204" s="47">
        <v>0</v>
      </c>
      <c r="I204" s="47">
        <v>0</v>
      </c>
      <c r="J204" s="47">
        <f t="shared" si="134"/>
        <v>3180705</v>
      </c>
      <c r="K204" s="47"/>
      <c r="L204" s="47"/>
      <c r="M204" s="47"/>
      <c r="N204" s="47">
        <f t="shared" si="132"/>
        <v>0</v>
      </c>
      <c r="O204" s="47">
        <f t="shared" si="165"/>
        <v>3180705</v>
      </c>
      <c r="P204" s="47">
        <f t="shared" si="166"/>
        <v>0</v>
      </c>
      <c r="Q204" s="47">
        <f t="shared" si="167"/>
        <v>0</v>
      </c>
      <c r="R204" s="47">
        <f t="shared" si="168"/>
        <v>3180705</v>
      </c>
      <c r="S204" s="79">
        <f t="shared" si="135"/>
        <v>48.383100091268631</v>
      </c>
      <c r="T204" s="79">
        <v>0</v>
      </c>
      <c r="U204" s="79">
        <v>0</v>
      </c>
      <c r="V204" s="79">
        <f t="shared" si="136"/>
        <v>48.383100091268631</v>
      </c>
      <c r="W204" s="47">
        <f t="shared" si="133"/>
        <v>3393295</v>
      </c>
      <c r="X204" s="247">
        <f t="shared" si="145"/>
        <v>3180705</v>
      </c>
      <c r="Y204" s="247">
        <f t="shared" si="143"/>
        <v>0</v>
      </c>
      <c r="Z204" s="247">
        <f t="shared" si="144"/>
        <v>0</v>
      </c>
      <c r="AA204" s="93"/>
    </row>
    <row r="205" spans="1:27" s="5" customFormat="1">
      <c r="A205" s="96" t="s">
        <v>445</v>
      </c>
      <c r="B205" s="96" t="s">
        <v>444</v>
      </c>
      <c r="C205" s="60">
        <f>SUM(C206:C211)</f>
        <v>498322880</v>
      </c>
      <c r="D205" s="60">
        <f>SUM(D206:D211)</f>
        <v>0</v>
      </c>
      <c r="E205" s="60">
        <f>SUM(E206:E211)</f>
        <v>0</v>
      </c>
      <c r="F205" s="60">
        <f t="shared" si="146"/>
        <v>498322880</v>
      </c>
      <c r="G205" s="60">
        <f t="shared" ref="G205:I205" si="173">SUM(G206:G211)</f>
        <v>243250025</v>
      </c>
      <c r="H205" s="60">
        <f t="shared" si="173"/>
        <v>0</v>
      </c>
      <c r="I205" s="60">
        <f t="shared" si="173"/>
        <v>0</v>
      </c>
      <c r="J205" s="60">
        <f t="shared" si="134"/>
        <v>243250025</v>
      </c>
      <c r="K205" s="60">
        <f>SUM(K206:K211)</f>
        <v>0</v>
      </c>
      <c r="L205" s="60">
        <f t="shared" ref="L205:M205" si="174">SUM(L206:L211)</f>
        <v>0</v>
      </c>
      <c r="M205" s="60">
        <f t="shared" si="174"/>
        <v>0</v>
      </c>
      <c r="N205" s="60">
        <f t="shared" si="132"/>
        <v>0</v>
      </c>
      <c r="O205" s="60">
        <f t="shared" si="165"/>
        <v>243250025</v>
      </c>
      <c r="P205" s="60">
        <f t="shared" si="166"/>
        <v>0</v>
      </c>
      <c r="Q205" s="60">
        <f t="shared" si="167"/>
        <v>0</v>
      </c>
      <c r="R205" s="60">
        <f t="shared" si="168"/>
        <v>243250025</v>
      </c>
      <c r="S205" s="84">
        <f t="shared" si="135"/>
        <v>48.81373799252404</v>
      </c>
      <c r="T205" s="84">
        <v>0</v>
      </c>
      <c r="U205" s="84">
        <v>0</v>
      </c>
      <c r="V205" s="84">
        <f t="shared" si="136"/>
        <v>48.81373799252404</v>
      </c>
      <c r="W205" s="60">
        <f t="shared" si="133"/>
        <v>255072855</v>
      </c>
      <c r="X205" s="247">
        <f t="shared" si="145"/>
        <v>243250025</v>
      </c>
      <c r="Y205" s="247">
        <f t="shared" si="143"/>
        <v>0</v>
      </c>
      <c r="Z205" s="247">
        <f t="shared" si="144"/>
        <v>0</v>
      </c>
      <c r="AA205" s="93"/>
    </row>
    <row r="206" spans="1:27">
      <c r="A206" s="97" t="s">
        <v>373</v>
      </c>
      <c r="B206" s="97" t="s">
        <v>374</v>
      </c>
      <c r="C206" s="98">
        <v>3235200</v>
      </c>
      <c r="D206" s="46">
        <v>0</v>
      </c>
      <c r="E206" s="46">
        <v>0</v>
      </c>
      <c r="F206" s="46">
        <f t="shared" si="146"/>
        <v>3235200</v>
      </c>
      <c r="G206" s="47">
        <v>2426400</v>
      </c>
      <c r="H206" s="47">
        <v>0</v>
      </c>
      <c r="I206" s="47">
        <v>0</v>
      </c>
      <c r="J206" s="47">
        <f t="shared" si="134"/>
        <v>2426400</v>
      </c>
      <c r="K206" s="47"/>
      <c r="L206" s="47"/>
      <c r="M206" s="47"/>
      <c r="N206" s="47">
        <f t="shared" si="132"/>
        <v>0</v>
      </c>
      <c r="O206" s="47">
        <f t="shared" si="165"/>
        <v>2426400</v>
      </c>
      <c r="P206" s="47">
        <f t="shared" si="166"/>
        <v>0</v>
      </c>
      <c r="Q206" s="47">
        <f t="shared" si="167"/>
        <v>0</v>
      </c>
      <c r="R206" s="47">
        <f t="shared" si="168"/>
        <v>2426400</v>
      </c>
      <c r="S206" s="79">
        <f t="shared" si="135"/>
        <v>75</v>
      </c>
      <c r="T206" s="79">
        <v>0</v>
      </c>
      <c r="U206" s="79">
        <v>0</v>
      </c>
      <c r="V206" s="79">
        <f t="shared" si="136"/>
        <v>75</v>
      </c>
      <c r="W206" s="47">
        <f t="shared" si="133"/>
        <v>808800</v>
      </c>
      <c r="X206" s="247">
        <f t="shared" si="145"/>
        <v>2426400</v>
      </c>
      <c r="Y206" s="247">
        <f t="shared" si="143"/>
        <v>0</v>
      </c>
      <c r="Z206" s="247">
        <f t="shared" si="144"/>
        <v>0</v>
      </c>
      <c r="AA206" s="93"/>
    </row>
    <row r="207" spans="1:27">
      <c r="A207" s="97" t="s">
        <v>112</v>
      </c>
      <c r="B207" s="97" t="s">
        <v>439</v>
      </c>
      <c r="C207" s="98">
        <v>9646680</v>
      </c>
      <c r="D207" s="46">
        <v>0</v>
      </c>
      <c r="E207" s="46">
        <v>0</v>
      </c>
      <c r="F207" s="46">
        <f t="shared" si="146"/>
        <v>9646680</v>
      </c>
      <c r="G207" s="47">
        <v>3431396</v>
      </c>
      <c r="H207" s="47">
        <v>0</v>
      </c>
      <c r="I207" s="47">
        <v>0</v>
      </c>
      <c r="J207" s="47">
        <f t="shared" si="134"/>
        <v>3431396</v>
      </c>
      <c r="K207" s="47"/>
      <c r="L207" s="47"/>
      <c r="M207" s="47"/>
      <c r="N207" s="47">
        <f t="shared" si="132"/>
        <v>0</v>
      </c>
      <c r="O207" s="47">
        <f t="shared" si="165"/>
        <v>3431396</v>
      </c>
      <c r="P207" s="47">
        <f t="shared" si="166"/>
        <v>0</v>
      </c>
      <c r="Q207" s="47">
        <f t="shared" si="167"/>
        <v>0</v>
      </c>
      <c r="R207" s="47">
        <f t="shared" si="168"/>
        <v>3431396</v>
      </c>
      <c r="S207" s="79">
        <f t="shared" si="135"/>
        <v>35.570745582936304</v>
      </c>
      <c r="T207" s="79">
        <v>0</v>
      </c>
      <c r="U207" s="79">
        <v>0</v>
      </c>
      <c r="V207" s="79">
        <f t="shared" si="136"/>
        <v>35.570745582936304</v>
      </c>
      <c r="W207" s="47">
        <f t="shared" si="133"/>
        <v>6215284</v>
      </c>
      <c r="X207" s="247">
        <f t="shared" si="145"/>
        <v>3431396</v>
      </c>
      <c r="Y207" s="247">
        <f t="shared" si="143"/>
        <v>0</v>
      </c>
      <c r="Z207" s="247">
        <f t="shared" si="144"/>
        <v>0</v>
      </c>
      <c r="AA207" s="93"/>
    </row>
    <row r="208" spans="1:27">
      <c r="A208" s="97" t="s">
        <v>275</v>
      </c>
      <c r="B208" s="97" t="s">
        <v>440</v>
      </c>
      <c r="C208" s="98">
        <v>30480000</v>
      </c>
      <c r="D208" s="46">
        <v>0</v>
      </c>
      <c r="E208" s="46">
        <v>0</v>
      </c>
      <c r="F208" s="46">
        <f t="shared" si="146"/>
        <v>30480000</v>
      </c>
      <c r="G208" s="47">
        <v>30480000</v>
      </c>
      <c r="H208" s="47">
        <v>0</v>
      </c>
      <c r="I208" s="47">
        <v>0</v>
      </c>
      <c r="J208" s="47">
        <f t="shared" si="134"/>
        <v>30480000</v>
      </c>
      <c r="K208" s="47"/>
      <c r="L208" s="47"/>
      <c r="M208" s="47"/>
      <c r="N208" s="47">
        <f t="shared" si="132"/>
        <v>0</v>
      </c>
      <c r="O208" s="47">
        <f t="shared" si="165"/>
        <v>30480000</v>
      </c>
      <c r="P208" s="47">
        <f t="shared" si="166"/>
        <v>0</v>
      </c>
      <c r="Q208" s="47">
        <f t="shared" si="167"/>
        <v>0</v>
      </c>
      <c r="R208" s="47">
        <f t="shared" si="168"/>
        <v>30480000</v>
      </c>
      <c r="S208" s="79">
        <f t="shared" si="135"/>
        <v>100</v>
      </c>
      <c r="T208" s="79">
        <v>0</v>
      </c>
      <c r="U208" s="79">
        <v>0</v>
      </c>
      <c r="V208" s="79">
        <f t="shared" si="136"/>
        <v>100</v>
      </c>
      <c r="W208" s="47">
        <f t="shared" si="133"/>
        <v>0</v>
      </c>
      <c r="X208" s="247">
        <f t="shared" si="145"/>
        <v>30480000</v>
      </c>
      <c r="Y208" s="247">
        <f t="shared" si="143"/>
        <v>0</v>
      </c>
      <c r="Z208" s="247">
        <f t="shared" si="144"/>
        <v>0</v>
      </c>
      <c r="AA208" s="93"/>
    </row>
    <row r="209" spans="1:27">
      <c r="A209" s="97" t="s">
        <v>276</v>
      </c>
      <c r="B209" s="97" t="s">
        <v>429</v>
      </c>
      <c r="C209" s="98">
        <v>14300000</v>
      </c>
      <c r="D209" s="46">
        <v>0</v>
      </c>
      <c r="E209" s="46">
        <v>0</v>
      </c>
      <c r="F209" s="46">
        <f t="shared" si="146"/>
        <v>14300000</v>
      </c>
      <c r="G209" s="47">
        <v>13300000</v>
      </c>
      <c r="H209" s="47">
        <v>0</v>
      </c>
      <c r="I209" s="47">
        <v>0</v>
      </c>
      <c r="J209" s="47">
        <f t="shared" si="134"/>
        <v>13300000</v>
      </c>
      <c r="K209" s="47"/>
      <c r="L209" s="47"/>
      <c r="M209" s="47"/>
      <c r="N209" s="47">
        <f t="shared" ref="N209:N272" si="175">SUM(K209:M209)</f>
        <v>0</v>
      </c>
      <c r="O209" s="47">
        <f t="shared" si="165"/>
        <v>13300000</v>
      </c>
      <c r="P209" s="47">
        <f t="shared" si="166"/>
        <v>0</v>
      </c>
      <c r="Q209" s="47">
        <f t="shared" si="167"/>
        <v>0</v>
      </c>
      <c r="R209" s="47">
        <f t="shared" si="168"/>
        <v>13300000</v>
      </c>
      <c r="S209" s="79">
        <f t="shared" si="135"/>
        <v>93.006993006993014</v>
      </c>
      <c r="T209" s="79">
        <v>0</v>
      </c>
      <c r="U209" s="79">
        <v>0</v>
      </c>
      <c r="V209" s="79">
        <f t="shared" si="136"/>
        <v>93.006993006993014</v>
      </c>
      <c r="W209" s="47">
        <f t="shared" ref="W209:W272" si="176">F209-R209</f>
        <v>1000000</v>
      </c>
      <c r="X209" s="247">
        <f t="shared" si="145"/>
        <v>13300000</v>
      </c>
      <c r="Y209" s="247">
        <f t="shared" si="143"/>
        <v>0</v>
      </c>
      <c r="Z209" s="247">
        <f t="shared" si="144"/>
        <v>0</v>
      </c>
      <c r="AA209" s="93"/>
    </row>
    <row r="210" spans="1:27">
      <c r="A210" s="97" t="s">
        <v>366</v>
      </c>
      <c r="B210" s="97" t="s">
        <v>367</v>
      </c>
      <c r="C210" s="98">
        <v>19461000</v>
      </c>
      <c r="D210" s="46">
        <v>0</v>
      </c>
      <c r="E210" s="46">
        <v>0</v>
      </c>
      <c r="F210" s="46">
        <f t="shared" si="146"/>
        <v>19461000</v>
      </c>
      <c r="G210" s="47">
        <v>0</v>
      </c>
      <c r="H210" s="47">
        <v>0</v>
      </c>
      <c r="I210" s="47">
        <v>0</v>
      </c>
      <c r="J210" s="47">
        <f t="shared" ref="J210:J273" si="177">G210+H210+I210</f>
        <v>0</v>
      </c>
      <c r="K210" s="47"/>
      <c r="L210" s="47"/>
      <c r="M210" s="47"/>
      <c r="N210" s="47">
        <f t="shared" si="175"/>
        <v>0</v>
      </c>
      <c r="O210" s="47">
        <f t="shared" si="165"/>
        <v>0</v>
      </c>
      <c r="P210" s="47">
        <f t="shared" si="166"/>
        <v>0</v>
      </c>
      <c r="Q210" s="47">
        <f t="shared" si="167"/>
        <v>0</v>
      </c>
      <c r="R210" s="47">
        <f t="shared" si="168"/>
        <v>0</v>
      </c>
      <c r="S210" s="79">
        <f t="shared" ref="S210:S273" si="178">O210/C210*100</f>
        <v>0</v>
      </c>
      <c r="T210" s="79">
        <v>0</v>
      </c>
      <c r="U210" s="79">
        <v>0</v>
      </c>
      <c r="V210" s="79">
        <f t="shared" ref="V210:V273" si="179">R210/F210*100</f>
        <v>0</v>
      </c>
      <c r="W210" s="47">
        <f t="shared" si="176"/>
        <v>19461000</v>
      </c>
      <c r="X210" s="247">
        <f t="shared" si="145"/>
        <v>0</v>
      </c>
      <c r="Y210" s="247">
        <f t="shared" si="143"/>
        <v>0</v>
      </c>
      <c r="Z210" s="247">
        <f t="shared" si="144"/>
        <v>0</v>
      </c>
      <c r="AA210" s="93"/>
    </row>
    <row r="211" spans="1:27">
      <c r="A211" s="44" t="s">
        <v>100</v>
      </c>
      <c r="B211" s="45" t="s">
        <v>101</v>
      </c>
      <c r="C211" s="98">
        <v>421200000</v>
      </c>
      <c r="D211" s="46">
        <v>0</v>
      </c>
      <c r="E211" s="46">
        <v>0</v>
      </c>
      <c r="F211" s="46">
        <f t="shared" si="146"/>
        <v>421200000</v>
      </c>
      <c r="G211" s="47">
        <v>193612229</v>
      </c>
      <c r="H211" s="47">
        <v>0</v>
      </c>
      <c r="I211" s="47">
        <v>0</v>
      </c>
      <c r="J211" s="47">
        <f t="shared" si="177"/>
        <v>193612229</v>
      </c>
      <c r="K211" s="47"/>
      <c r="L211" s="47"/>
      <c r="M211" s="47"/>
      <c r="N211" s="47">
        <f t="shared" si="175"/>
        <v>0</v>
      </c>
      <c r="O211" s="47">
        <f t="shared" si="165"/>
        <v>193612229</v>
      </c>
      <c r="P211" s="47">
        <f t="shared" si="166"/>
        <v>0</v>
      </c>
      <c r="Q211" s="47">
        <f t="shared" si="167"/>
        <v>0</v>
      </c>
      <c r="R211" s="47">
        <f t="shared" si="168"/>
        <v>193612229</v>
      </c>
      <c r="S211" s="79">
        <f t="shared" si="178"/>
        <v>45.966816001899332</v>
      </c>
      <c r="T211" s="79">
        <v>0</v>
      </c>
      <c r="U211" s="79">
        <v>0</v>
      </c>
      <c r="V211" s="79">
        <f t="shared" si="179"/>
        <v>45.966816001899332</v>
      </c>
      <c r="W211" s="47">
        <f t="shared" si="176"/>
        <v>227587771</v>
      </c>
      <c r="X211" s="247">
        <f t="shared" si="145"/>
        <v>193612229</v>
      </c>
      <c r="Y211" s="247">
        <f t="shared" si="143"/>
        <v>0</v>
      </c>
      <c r="Z211" s="247">
        <f t="shared" si="144"/>
        <v>0</v>
      </c>
      <c r="AA211" s="93"/>
    </row>
    <row r="212" spans="1:27" s="5" customFormat="1">
      <c r="A212" s="96" t="s">
        <v>229</v>
      </c>
      <c r="B212" s="96" t="s">
        <v>230</v>
      </c>
      <c r="C212" s="60">
        <f>SUM(C213:C217)</f>
        <v>256356500</v>
      </c>
      <c r="D212" s="60">
        <f>SUM(D213:D217)</f>
        <v>296107800</v>
      </c>
      <c r="E212" s="60">
        <f>SUM(E213:E217)</f>
        <v>0</v>
      </c>
      <c r="F212" s="60">
        <f t="shared" si="146"/>
        <v>552464300</v>
      </c>
      <c r="G212" s="60">
        <f t="shared" ref="G212:I212" si="180">SUM(G213:G217)</f>
        <v>173001260</v>
      </c>
      <c r="H212" s="60">
        <f t="shared" si="180"/>
        <v>31182330</v>
      </c>
      <c r="I212" s="60">
        <f t="shared" si="180"/>
        <v>0</v>
      </c>
      <c r="J212" s="60">
        <f t="shared" si="177"/>
        <v>204183590</v>
      </c>
      <c r="K212" s="60">
        <f t="shared" ref="K212:M212" si="181">SUM(K213:K217)</f>
        <v>0</v>
      </c>
      <c r="L212" s="60">
        <f t="shared" si="181"/>
        <v>0</v>
      </c>
      <c r="M212" s="60">
        <f t="shared" si="181"/>
        <v>0</v>
      </c>
      <c r="N212" s="60">
        <f t="shared" si="175"/>
        <v>0</v>
      </c>
      <c r="O212" s="60">
        <f t="shared" si="165"/>
        <v>173001260</v>
      </c>
      <c r="P212" s="60">
        <f t="shared" si="166"/>
        <v>31182330</v>
      </c>
      <c r="Q212" s="60">
        <f t="shared" si="167"/>
        <v>0</v>
      </c>
      <c r="R212" s="60">
        <f t="shared" si="168"/>
        <v>204183590</v>
      </c>
      <c r="S212" s="84">
        <f t="shared" si="178"/>
        <v>67.48463955468263</v>
      </c>
      <c r="T212" s="84">
        <f t="shared" ref="T212:T218" si="182">P212/D212*100</f>
        <v>10.530735765825824</v>
      </c>
      <c r="U212" s="84">
        <v>0</v>
      </c>
      <c r="V212" s="84">
        <f t="shared" si="179"/>
        <v>36.958693982579511</v>
      </c>
      <c r="W212" s="60">
        <f t="shared" si="176"/>
        <v>348280710</v>
      </c>
      <c r="X212" s="247">
        <f t="shared" si="145"/>
        <v>173001260</v>
      </c>
      <c r="Y212" s="247">
        <f t="shared" si="143"/>
        <v>31182330</v>
      </c>
      <c r="Z212" s="247">
        <f t="shared" si="144"/>
        <v>0</v>
      </c>
      <c r="AA212" s="93"/>
    </row>
    <row r="213" spans="1:27">
      <c r="A213" s="44" t="s">
        <v>128</v>
      </c>
      <c r="B213" s="45" t="s">
        <v>113</v>
      </c>
      <c r="C213" s="98">
        <v>7356500</v>
      </c>
      <c r="D213" s="98">
        <v>2277000</v>
      </c>
      <c r="E213" s="98">
        <v>0</v>
      </c>
      <c r="F213" s="46">
        <f t="shared" si="146"/>
        <v>9633500</v>
      </c>
      <c r="G213" s="48">
        <v>3162700</v>
      </c>
      <c r="H213" s="47">
        <v>0</v>
      </c>
      <c r="I213" s="47">
        <v>0</v>
      </c>
      <c r="J213" s="47">
        <f t="shared" si="177"/>
        <v>3162700</v>
      </c>
      <c r="K213" s="47"/>
      <c r="L213" s="47"/>
      <c r="M213" s="47"/>
      <c r="N213" s="47">
        <f t="shared" si="175"/>
        <v>0</v>
      </c>
      <c r="O213" s="47">
        <f t="shared" si="165"/>
        <v>3162700</v>
      </c>
      <c r="P213" s="47">
        <f t="shared" si="166"/>
        <v>0</v>
      </c>
      <c r="Q213" s="47">
        <f t="shared" si="167"/>
        <v>0</v>
      </c>
      <c r="R213" s="47">
        <f t="shared" si="168"/>
        <v>3162700</v>
      </c>
      <c r="S213" s="79">
        <f t="shared" si="178"/>
        <v>42.99191191463332</v>
      </c>
      <c r="T213" s="79">
        <f t="shared" si="182"/>
        <v>0</v>
      </c>
      <c r="U213" s="79">
        <v>0</v>
      </c>
      <c r="V213" s="79">
        <f t="shared" si="179"/>
        <v>32.83022785072923</v>
      </c>
      <c r="W213" s="47">
        <f t="shared" si="176"/>
        <v>6470800</v>
      </c>
      <c r="X213" s="247">
        <f t="shared" si="145"/>
        <v>3162700</v>
      </c>
      <c r="Y213" s="247">
        <f t="shared" si="143"/>
        <v>0</v>
      </c>
      <c r="Z213" s="247">
        <f t="shared" si="144"/>
        <v>0</v>
      </c>
      <c r="AA213" s="93"/>
    </row>
    <row r="214" spans="1:27">
      <c r="A214" s="44" t="s">
        <v>227</v>
      </c>
      <c r="B214" s="45" t="s">
        <v>115</v>
      </c>
      <c r="C214" s="98">
        <v>0</v>
      </c>
      <c r="D214" s="98">
        <v>17230800</v>
      </c>
      <c r="E214" s="98">
        <v>0</v>
      </c>
      <c r="F214" s="46">
        <f t="shared" si="146"/>
        <v>17230800</v>
      </c>
      <c r="G214" s="47">
        <v>3932730</v>
      </c>
      <c r="H214" s="47">
        <v>3932730</v>
      </c>
      <c r="I214" s="47">
        <v>0</v>
      </c>
      <c r="J214" s="47">
        <f t="shared" si="177"/>
        <v>7865460</v>
      </c>
      <c r="K214" s="47"/>
      <c r="L214" s="47"/>
      <c r="M214" s="47"/>
      <c r="N214" s="47">
        <f t="shared" si="175"/>
        <v>0</v>
      </c>
      <c r="O214" s="47">
        <f t="shared" si="165"/>
        <v>3932730</v>
      </c>
      <c r="P214" s="47">
        <f t="shared" si="166"/>
        <v>3932730</v>
      </c>
      <c r="Q214" s="47">
        <f t="shared" si="167"/>
        <v>0</v>
      </c>
      <c r="R214" s="47">
        <f t="shared" si="168"/>
        <v>7865460</v>
      </c>
      <c r="S214" s="79">
        <v>0</v>
      </c>
      <c r="T214" s="79">
        <f t="shared" si="182"/>
        <v>22.82383870743088</v>
      </c>
      <c r="U214" s="79">
        <v>0</v>
      </c>
      <c r="V214" s="79">
        <f t="shared" si="179"/>
        <v>45.647677414861761</v>
      </c>
      <c r="W214" s="47">
        <f t="shared" si="176"/>
        <v>9365340</v>
      </c>
      <c r="X214" s="247">
        <f t="shared" si="145"/>
        <v>3932730</v>
      </c>
      <c r="Y214" s="247">
        <f t="shared" ref="Y214:Y277" si="183">H214+L214</f>
        <v>3932730</v>
      </c>
      <c r="Z214" s="247">
        <f t="shared" ref="Z214:Z277" si="184">I214+M214</f>
        <v>0</v>
      </c>
      <c r="AA214" s="93"/>
    </row>
    <row r="215" spans="1:27">
      <c r="A215" s="97" t="s">
        <v>124</v>
      </c>
      <c r="B215" s="97" t="s">
        <v>125</v>
      </c>
      <c r="C215" s="98">
        <v>135900000</v>
      </c>
      <c r="D215" s="98">
        <v>30200000</v>
      </c>
      <c r="E215" s="98">
        <v>0</v>
      </c>
      <c r="F215" s="46">
        <f t="shared" si="146"/>
        <v>166100000</v>
      </c>
      <c r="G215" s="47">
        <v>54360000</v>
      </c>
      <c r="H215" s="47">
        <v>0</v>
      </c>
      <c r="I215" s="47">
        <v>0</v>
      </c>
      <c r="J215" s="47">
        <f t="shared" si="177"/>
        <v>54360000</v>
      </c>
      <c r="K215" s="47"/>
      <c r="L215" s="47"/>
      <c r="M215" s="47"/>
      <c r="N215" s="47">
        <f t="shared" si="175"/>
        <v>0</v>
      </c>
      <c r="O215" s="47">
        <f t="shared" si="165"/>
        <v>54360000</v>
      </c>
      <c r="P215" s="47">
        <f t="shared" si="166"/>
        <v>0</v>
      </c>
      <c r="Q215" s="47">
        <f t="shared" si="167"/>
        <v>0</v>
      </c>
      <c r="R215" s="47">
        <f t="shared" si="168"/>
        <v>54360000</v>
      </c>
      <c r="S215" s="79">
        <f t="shared" si="178"/>
        <v>40</v>
      </c>
      <c r="T215" s="79">
        <f t="shared" si="182"/>
        <v>0</v>
      </c>
      <c r="U215" s="79">
        <v>0</v>
      </c>
      <c r="V215" s="79">
        <f t="shared" si="179"/>
        <v>32.727272727272727</v>
      </c>
      <c r="W215" s="47">
        <f t="shared" si="176"/>
        <v>111740000</v>
      </c>
      <c r="X215" s="247">
        <f t="shared" ref="X215:X278" si="185">G215+K215</f>
        <v>54360000</v>
      </c>
      <c r="Y215" s="247">
        <f t="shared" si="183"/>
        <v>0</v>
      </c>
      <c r="Z215" s="247">
        <f t="shared" si="184"/>
        <v>0</v>
      </c>
      <c r="AA215" s="93"/>
    </row>
    <row r="216" spans="1:27">
      <c r="A216" s="44" t="s">
        <v>137</v>
      </c>
      <c r="B216" s="45" t="s">
        <v>138</v>
      </c>
      <c r="C216" s="98">
        <v>50100000</v>
      </c>
      <c r="D216" s="98">
        <v>14200000</v>
      </c>
      <c r="E216" s="98">
        <v>0</v>
      </c>
      <c r="F216" s="46">
        <f t="shared" si="146"/>
        <v>64300000</v>
      </c>
      <c r="G216" s="48">
        <v>28800000</v>
      </c>
      <c r="H216" s="47">
        <v>0</v>
      </c>
      <c r="I216" s="47">
        <v>0</v>
      </c>
      <c r="J216" s="47">
        <f t="shared" si="177"/>
        <v>28800000</v>
      </c>
      <c r="K216" s="47"/>
      <c r="L216" s="47"/>
      <c r="M216" s="47"/>
      <c r="N216" s="47">
        <f t="shared" si="175"/>
        <v>0</v>
      </c>
      <c r="O216" s="47">
        <f t="shared" si="165"/>
        <v>28800000</v>
      </c>
      <c r="P216" s="47">
        <f t="shared" si="166"/>
        <v>0</v>
      </c>
      <c r="Q216" s="47">
        <f t="shared" si="167"/>
        <v>0</v>
      </c>
      <c r="R216" s="47">
        <f t="shared" si="168"/>
        <v>28800000</v>
      </c>
      <c r="S216" s="79">
        <f t="shared" si="178"/>
        <v>57.485029940119759</v>
      </c>
      <c r="T216" s="79">
        <f t="shared" si="182"/>
        <v>0</v>
      </c>
      <c r="U216" s="79">
        <v>0</v>
      </c>
      <c r="V216" s="79">
        <f t="shared" si="179"/>
        <v>44.7900466562986</v>
      </c>
      <c r="W216" s="47">
        <f t="shared" si="176"/>
        <v>35500000</v>
      </c>
      <c r="X216" s="247">
        <f t="shared" si="185"/>
        <v>28800000</v>
      </c>
      <c r="Y216" s="247">
        <f t="shared" si="183"/>
        <v>0</v>
      </c>
      <c r="Z216" s="247">
        <f t="shared" si="184"/>
        <v>0</v>
      </c>
      <c r="AA216" s="93"/>
    </row>
    <row r="217" spans="1:27">
      <c r="A217" s="44" t="s">
        <v>100</v>
      </c>
      <c r="B217" s="45" t="s">
        <v>101</v>
      </c>
      <c r="C217" s="98">
        <v>63000000</v>
      </c>
      <c r="D217" s="98">
        <v>232200000</v>
      </c>
      <c r="E217" s="98">
        <v>0</v>
      </c>
      <c r="F217" s="46">
        <f t="shared" ref="F217:F280" si="186">C217+D217+E217</f>
        <v>295200000</v>
      </c>
      <c r="G217" s="47">
        <v>82745830</v>
      </c>
      <c r="H217" s="47">
        <v>27249600</v>
      </c>
      <c r="I217" s="47">
        <v>0</v>
      </c>
      <c r="J217" s="47">
        <f t="shared" si="177"/>
        <v>109995430</v>
      </c>
      <c r="K217" s="47"/>
      <c r="L217" s="80"/>
      <c r="M217" s="80"/>
      <c r="N217" s="47">
        <f t="shared" si="175"/>
        <v>0</v>
      </c>
      <c r="O217" s="47">
        <f t="shared" si="165"/>
        <v>82745830</v>
      </c>
      <c r="P217" s="47">
        <f t="shared" si="166"/>
        <v>27249600</v>
      </c>
      <c r="Q217" s="47">
        <f t="shared" si="167"/>
        <v>0</v>
      </c>
      <c r="R217" s="47">
        <f t="shared" si="168"/>
        <v>109995430</v>
      </c>
      <c r="S217" s="79">
        <f t="shared" si="178"/>
        <v>131.34258730158729</v>
      </c>
      <c r="T217" s="79">
        <f t="shared" si="182"/>
        <v>11.735400516795865</v>
      </c>
      <c r="U217" s="79">
        <v>0</v>
      </c>
      <c r="V217" s="79">
        <f t="shared" si="179"/>
        <v>37.261324525745259</v>
      </c>
      <c r="W217" s="47">
        <f t="shared" si="176"/>
        <v>185204570</v>
      </c>
      <c r="X217" s="247">
        <f t="shared" si="185"/>
        <v>82745830</v>
      </c>
      <c r="Y217" s="247">
        <f t="shared" si="183"/>
        <v>27249600</v>
      </c>
      <c r="Z217" s="247">
        <f t="shared" si="184"/>
        <v>0</v>
      </c>
      <c r="AA217" s="93"/>
    </row>
    <row r="218" spans="1:27" s="10" customFormat="1" ht="18">
      <c r="A218" s="106"/>
      <c r="B218" s="57" t="s">
        <v>19</v>
      </c>
      <c r="C218" s="58">
        <f t="shared" ref="C218:M218" si="187">C219+C245+C229</f>
        <v>21806682510</v>
      </c>
      <c r="D218" s="58">
        <f t="shared" si="187"/>
        <v>368452000</v>
      </c>
      <c r="E218" s="58">
        <f>E219+E245+E229</f>
        <v>0</v>
      </c>
      <c r="F218" s="58">
        <f t="shared" si="186"/>
        <v>22175134510</v>
      </c>
      <c r="G218" s="58">
        <f t="shared" ref="G218:I218" si="188">G219+G245+G229</f>
        <v>1931892424</v>
      </c>
      <c r="H218" s="58">
        <f t="shared" si="188"/>
        <v>311786242</v>
      </c>
      <c r="I218" s="58">
        <f t="shared" si="188"/>
        <v>0</v>
      </c>
      <c r="J218" s="58">
        <f t="shared" si="177"/>
        <v>2243678666</v>
      </c>
      <c r="K218" s="58">
        <f t="shared" si="187"/>
        <v>0</v>
      </c>
      <c r="L218" s="58">
        <f t="shared" si="187"/>
        <v>0</v>
      </c>
      <c r="M218" s="58">
        <f t="shared" si="187"/>
        <v>0</v>
      </c>
      <c r="N218" s="58">
        <f t="shared" si="175"/>
        <v>0</v>
      </c>
      <c r="O218" s="58">
        <f t="shared" si="165"/>
        <v>1931892424</v>
      </c>
      <c r="P218" s="58">
        <f t="shared" si="166"/>
        <v>311786242</v>
      </c>
      <c r="Q218" s="58">
        <f t="shared" si="167"/>
        <v>0</v>
      </c>
      <c r="R218" s="58">
        <f t="shared" si="168"/>
        <v>2243678666</v>
      </c>
      <c r="S218" s="83">
        <f t="shared" si="178"/>
        <v>8.8591761865386101</v>
      </c>
      <c r="T218" s="83">
        <f t="shared" si="182"/>
        <v>84.620586127908112</v>
      </c>
      <c r="U218" s="83">
        <v>0</v>
      </c>
      <c r="V218" s="83">
        <f t="shared" si="179"/>
        <v>10.117993489456403</v>
      </c>
      <c r="W218" s="58">
        <f t="shared" si="176"/>
        <v>19931455844</v>
      </c>
      <c r="X218" s="247">
        <f t="shared" si="185"/>
        <v>1931892424</v>
      </c>
      <c r="Y218" s="247">
        <f t="shared" si="183"/>
        <v>311786242</v>
      </c>
      <c r="Z218" s="247">
        <f t="shared" si="184"/>
        <v>0</v>
      </c>
      <c r="AA218" s="93"/>
    </row>
    <row r="219" spans="1:27" s="11" customFormat="1" ht="20.25" customHeight="1">
      <c r="A219" s="35" t="s">
        <v>232</v>
      </c>
      <c r="B219" s="36" t="s">
        <v>233</v>
      </c>
      <c r="C219" s="37">
        <f t="shared" ref="C219:M220" si="189">C220</f>
        <v>19539925010</v>
      </c>
      <c r="D219" s="37">
        <f t="shared" si="189"/>
        <v>0</v>
      </c>
      <c r="E219" s="37">
        <f t="shared" si="189"/>
        <v>0</v>
      </c>
      <c r="F219" s="37">
        <f t="shared" si="186"/>
        <v>19539925010</v>
      </c>
      <c r="G219" s="37">
        <f t="shared" ref="G219:I220" si="190">G220</f>
        <v>459909121</v>
      </c>
      <c r="H219" s="37">
        <f t="shared" si="190"/>
        <v>0</v>
      </c>
      <c r="I219" s="37">
        <f t="shared" si="190"/>
        <v>0</v>
      </c>
      <c r="J219" s="37">
        <f t="shared" si="177"/>
        <v>459909121</v>
      </c>
      <c r="K219" s="37">
        <f t="shared" si="189"/>
        <v>0</v>
      </c>
      <c r="L219" s="37">
        <f t="shared" si="189"/>
        <v>0</v>
      </c>
      <c r="M219" s="37">
        <f t="shared" si="189"/>
        <v>0</v>
      </c>
      <c r="N219" s="37">
        <f t="shared" si="175"/>
        <v>0</v>
      </c>
      <c r="O219" s="37">
        <f t="shared" si="165"/>
        <v>459909121</v>
      </c>
      <c r="P219" s="37">
        <f t="shared" si="166"/>
        <v>0</v>
      </c>
      <c r="Q219" s="37">
        <f t="shared" si="167"/>
        <v>0</v>
      </c>
      <c r="R219" s="37">
        <f t="shared" si="168"/>
        <v>459909121</v>
      </c>
      <c r="S219" s="76">
        <f t="shared" si="178"/>
        <v>2.3536892836826704</v>
      </c>
      <c r="T219" s="76">
        <v>0</v>
      </c>
      <c r="U219" s="76">
        <v>0</v>
      </c>
      <c r="V219" s="76">
        <f t="shared" si="179"/>
        <v>2.3536892836826704</v>
      </c>
      <c r="W219" s="37">
        <f t="shared" si="176"/>
        <v>19080015889</v>
      </c>
      <c r="X219" s="247">
        <f t="shared" si="185"/>
        <v>459909121</v>
      </c>
      <c r="Y219" s="247">
        <f t="shared" si="183"/>
        <v>0</v>
      </c>
      <c r="Z219" s="247">
        <f t="shared" si="184"/>
        <v>0</v>
      </c>
      <c r="AA219" s="93"/>
    </row>
    <row r="220" spans="1:27" s="12" customFormat="1" ht="20.25" customHeight="1">
      <c r="A220" s="38" t="s">
        <v>234</v>
      </c>
      <c r="B220" s="107" t="s">
        <v>235</v>
      </c>
      <c r="C220" s="108">
        <f t="shared" si="189"/>
        <v>19539925010</v>
      </c>
      <c r="D220" s="108">
        <f t="shared" si="189"/>
        <v>0</v>
      </c>
      <c r="E220" s="108">
        <f t="shared" si="189"/>
        <v>0</v>
      </c>
      <c r="F220" s="108">
        <f t="shared" si="186"/>
        <v>19539925010</v>
      </c>
      <c r="G220" s="108">
        <f t="shared" si="190"/>
        <v>459909121</v>
      </c>
      <c r="H220" s="108">
        <f t="shared" si="190"/>
        <v>0</v>
      </c>
      <c r="I220" s="108">
        <f t="shared" si="190"/>
        <v>0</v>
      </c>
      <c r="J220" s="108">
        <f t="shared" si="177"/>
        <v>459909121</v>
      </c>
      <c r="K220" s="108">
        <f t="shared" si="189"/>
        <v>0</v>
      </c>
      <c r="L220" s="108">
        <f t="shared" si="189"/>
        <v>0</v>
      </c>
      <c r="M220" s="108">
        <f t="shared" si="189"/>
        <v>0</v>
      </c>
      <c r="N220" s="108">
        <f t="shared" si="175"/>
        <v>0</v>
      </c>
      <c r="O220" s="108">
        <f t="shared" si="165"/>
        <v>459909121</v>
      </c>
      <c r="P220" s="108">
        <f t="shared" si="166"/>
        <v>0</v>
      </c>
      <c r="Q220" s="108">
        <f t="shared" si="167"/>
        <v>0</v>
      </c>
      <c r="R220" s="108">
        <f t="shared" si="168"/>
        <v>459909121</v>
      </c>
      <c r="S220" s="113">
        <f t="shared" si="178"/>
        <v>2.3536892836826704</v>
      </c>
      <c r="T220" s="113">
        <v>0</v>
      </c>
      <c r="U220" s="113">
        <v>0</v>
      </c>
      <c r="V220" s="113">
        <f t="shared" si="179"/>
        <v>2.3536892836826704</v>
      </c>
      <c r="W220" s="108">
        <f t="shared" si="176"/>
        <v>19080015889</v>
      </c>
      <c r="X220" s="247">
        <f t="shared" si="185"/>
        <v>459909121</v>
      </c>
      <c r="Y220" s="247">
        <f t="shared" si="183"/>
        <v>0</v>
      </c>
      <c r="Z220" s="247">
        <f t="shared" si="184"/>
        <v>0</v>
      </c>
      <c r="AA220" s="93"/>
    </row>
    <row r="221" spans="1:27" s="5" customFormat="1">
      <c r="A221" s="96" t="s">
        <v>236</v>
      </c>
      <c r="B221" s="96" t="s">
        <v>237</v>
      </c>
      <c r="C221" s="60">
        <f t="shared" ref="C221:M221" si="191">SUM(C222:C228)</f>
        <v>19539925010</v>
      </c>
      <c r="D221" s="60">
        <f t="shared" si="191"/>
        <v>0</v>
      </c>
      <c r="E221" s="60">
        <f>SUM(E222:E228)</f>
        <v>0</v>
      </c>
      <c r="F221" s="60">
        <f t="shared" si="186"/>
        <v>19539925010</v>
      </c>
      <c r="G221" s="60">
        <f t="shared" ref="G221:I221" si="192">SUM(G222:G228)</f>
        <v>459909121</v>
      </c>
      <c r="H221" s="60">
        <f t="shared" si="192"/>
        <v>0</v>
      </c>
      <c r="I221" s="60">
        <f t="shared" si="192"/>
        <v>0</v>
      </c>
      <c r="J221" s="60">
        <f t="shared" si="177"/>
        <v>459909121</v>
      </c>
      <c r="K221" s="60">
        <f t="shared" si="191"/>
        <v>0</v>
      </c>
      <c r="L221" s="60">
        <f t="shared" si="191"/>
        <v>0</v>
      </c>
      <c r="M221" s="60">
        <f t="shared" si="191"/>
        <v>0</v>
      </c>
      <c r="N221" s="60">
        <f t="shared" si="175"/>
        <v>0</v>
      </c>
      <c r="O221" s="60">
        <f t="shared" si="165"/>
        <v>459909121</v>
      </c>
      <c r="P221" s="60">
        <f t="shared" si="166"/>
        <v>0</v>
      </c>
      <c r="Q221" s="60">
        <f t="shared" si="167"/>
        <v>0</v>
      </c>
      <c r="R221" s="60">
        <f t="shared" si="168"/>
        <v>459909121</v>
      </c>
      <c r="S221" s="84">
        <f t="shared" si="178"/>
        <v>2.3536892836826704</v>
      </c>
      <c r="T221" s="84">
        <v>0</v>
      </c>
      <c r="U221" s="84">
        <v>0</v>
      </c>
      <c r="V221" s="84">
        <f t="shared" si="179"/>
        <v>2.3536892836826704</v>
      </c>
      <c r="W221" s="60">
        <f t="shared" si="176"/>
        <v>19080015889</v>
      </c>
      <c r="X221" s="247">
        <f t="shared" si="185"/>
        <v>459909121</v>
      </c>
      <c r="Y221" s="247">
        <f t="shared" si="183"/>
        <v>0</v>
      </c>
      <c r="Z221" s="247">
        <f t="shared" si="184"/>
        <v>0</v>
      </c>
      <c r="AA221" s="93"/>
    </row>
    <row r="222" spans="1:27">
      <c r="A222" s="97" t="s">
        <v>123</v>
      </c>
      <c r="B222" s="97" t="s">
        <v>111</v>
      </c>
      <c r="C222" s="109">
        <v>16000074</v>
      </c>
      <c r="D222" s="46">
        <v>0</v>
      </c>
      <c r="E222" s="46">
        <v>0</v>
      </c>
      <c r="F222" s="46">
        <f t="shared" si="186"/>
        <v>16000074</v>
      </c>
      <c r="G222" s="47">
        <v>9999440</v>
      </c>
      <c r="H222" s="47">
        <v>0</v>
      </c>
      <c r="I222" s="47">
        <v>0</v>
      </c>
      <c r="J222" s="47">
        <f t="shared" si="177"/>
        <v>9999440</v>
      </c>
      <c r="K222" s="47"/>
      <c r="L222" s="47"/>
      <c r="M222" s="47"/>
      <c r="N222" s="47">
        <f t="shared" si="175"/>
        <v>0</v>
      </c>
      <c r="O222" s="47">
        <f t="shared" si="165"/>
        <v>9999440</v>
      </c>
      <c r="P222" s="47">
        <f t="shared" si="166"/>
        <v>0</v>
      </c>
      <c r="Q222" s="47">
        <f t="shared" si="167"/>
        <v>0</v>
      </c>
      <c r="R222" s="47">
        <f t="shared" si="168"/>
        <v>9999440</v>
      </c>
      <c r="S222" s="79">
        <f t="shared" si="178"/>
        <v>62.496210955024331</v>
      </c>
      <c r="T222" s="79">
        <v>0</v>
      </c>
      <c r="U222" s="79">
        <v>0</v>
      </c>
      <c r="V222" s="79">
        <f t="shared" si="179"/>
        <v>62.496210955024331</v>
      </c>
      <c r="W222" s="47">
        <f t="shared" si="176"/>
        <v>6000634</v>
      </c>
      <c r="X222" s="247">
        <f t="shared" si="185"/>
        <v>9999440</v>
      </c>
      <c r="Y222" s="247">
        <f t="shared" si="183"/>
        <v>0</v>
      </c>
      <c r="Z222" s="247">
        <f t="shared" si="184"/>
        <v>0</v>
      </c>
      <c r="AA222" s="93"/>
    </row>
    <row r="223" spans="1:27">
      <c r="A223" s="97" t="s">
        <v>338</v>
      </c>
      <c r="B223" s="97" t="s">
        <v>339</v>
      </c>
      <c r="C223" s="109">
        <v>14732596</v>
      </c>
      <c r="D223" s="46">
        <v>0</v>
      </c>
      <c r="E223" s="46">
        <v>0</v>
      </c>
      <c r="F223" s="46">
        <f t="shared" si="186"/>
        <v>14732596</v>
      </c>
      <c r="G223" s="47">
        <v>7137000</v>
      </c>
      <c r="H223" s="47">
        <v>0</v>
      </c>
      <c r="I223" s="47">
        <v>0</v>
      </c>
      <c r="J223" s="47">
        <f t="shared" si="177"/>
        <v>7137000</v>
      </c>
      <c r="K223" s="47"/>
      <c r="L223" s="47"/>
      <c r="M223" s="47"/>
      <c r="N223" s="47">
        <f t="shared" si="175"/>
        <v>0</v>
      </c>
      <c r="O223" s="47">
        <f t="shared" si="165"/>
        <v>7137000</v>
      </c>
      <c r="P223" s="47">
        <f t="shared" si="166"/>
        <v>0</v>
      </c>
      <c r="Q223" s="47">
        <f t="shared" si="167"/>
        <v>0</v>
      </c>
      <c r="R223" s="47">
        <f t="shared" si="168"/>
        <v>7137000</v>
      </c>
      <c r="S223" s="79">
        <f t="shared" si="178"/>
        <v>48.443600842648507</v>
      </c>
      <c r="T223" s="79">
        <v>0</v>
      </c>
      <c r="U223" s="79">
        <v>0</v>
      </c>
      <c r="V223" s="79">
        <f t="shared" si="179"/>
        <v>48.443600842648507</v>
      </c>
      <c r="W223" s="47">
        <f t="shared" si="176"/>
        <v>7595596</v>
      </c>
      <c r="X223" s="247">
        <f t="shared" si="185"/>
        <v>7137000</v>
      </c>
      <c r="Y223" s="247">
        <f t="shared" si="183"/>
        <v>0</v>
      </c>
      <c r="Z223" s="247">
        <f t="shared" si="184"/>
        <v>0</v>
      </c>
      <c r="AA223" s="93"/>
    </row>
    <row r="224" spans="1:27">
      <c r="A224" s="97" t="s">
        <v>128</v>
      </c>
      <c r="B224" s="97" t="s">
        <v>113</v>
      </c>
      <c r="C224" s="109">
        <v>12362240</v>
      </c>
      <c r="D224" s="46">
        <v>0</v>
      </c>
      <c r="E224" s="46">
        <v>0</v>
      </c>
      <c r="F224" s="46">
        <f t="shared" si="186"/>
        <v>12362240</v>
      </c>
      <c r="G224" s="47">
        <v>1482000</v>
      </c>
      <c r="H224" s="47">
        <v>0</v>
      </c>
      <c r="I224" s="47">
        <v>0</v>
      </c>
      <c r="J224" s="47">
        <f t="shared" si="177"/>
        <v>1482000</v>
      </c>
      <c r="K224" s="47"/>
      <c r="L224" s="47"/>
      <c r="M224" s="47"/>
      <c r="N224" s="47">
        <f t="shared" si="175"/>
        <v>0</v>
      </c>
      <c r="O224" s="47">
        <f t="shared" si="165"/>
        <v>1482000</v>
      </c>
      <c r="P224" s="47">
        <f t="shared" si="166"/>
        <v>0</v>
      </c>
      <c r="Q224" s="47">
        <f t="shared" si="167"/>
        <v>0</v>
      </c>
      <c r="R224" s="47">
        <f t="shared" si="168"/>
        <v>1482000</v>
      </c>
      <c r="S224" s="79">
        <f t="shared" si="178"/>
        <v>11.988118658107268</v>
      </c>
      <c r="T224" s="79">
        <v>0</v>
      </c>
      <c r="U224" s="79">
        <v>0</v>
      </c>
      <c r="V224" s="79">
        <f t="shared" si="179"/>
        <v>11.988118658107268</v>
      </c>
      <c r="W224" s="47">
        <f t="shared" si="176"/>
        <v>10880240</v>
      </c>
      <c r="X224" s="247">
        <f t="shared" si="185"/>
        <v>1482000</v>
      </c>
      <c r="Y224" s="247">
        <f t="shared" si="183"/>
        <v>0</v>
      </c>
      <c r="Z224" s="247">
        <f t="shared" si="184"/>
        <v>0</v>
      </c>
      <c r="AA224" s="93"/>
    </row>
    <row r="225" spans="1:27">
      <c r="A225" s="97" t="s">
        <v>227</v>
      </c>
      <c r="B225" s="97" t="s">
        <v>115</v>
      </c>
      <c r="C225" s="109">
        <v>16302600</v>
      </c>
      <c r="D225" s="46">
        <v>0</v>
      </c>
      <c r="E225" s="46">
        <v>0</v>
      </c>
      <c r="F225" s="46">
        <f t="shared" si="186"/>
        <v>16302600</v>
      </c>
      <c r="G225" s="47">
        <v>7430000</v>
      </c>
      <c r="H225" s="47">
        <v>0</v>
      </c>
      <c r="I225" s="47">
        <v>0</v>
      </c>
      <c r="J225" s="47">
        <f t="shared" si="177"/>
        <v>7430000</v>
      </c>
      <c r="K225" s="47"/>
      <c r="L225" s="47"/>
      <c r="M225" s="47"/>
      <c r="N225" s="47">
        <f t="shared" si="175"/>
        <v>0</v>
      </c>
      <c r="O225" s="47">
        <f t="shared" si="165"/>
        <v>7430000</v>
      </c>
      <c r="P225" s="47">
        <f t="shared" si="166"/>
        <v>0</v>
      </c>
      <c r="Q225" s="47">
        <f t="shared" si="167"/>
        <v>0</v>
      </c>
      <c r="R225" s="47">
        <f t="shared" si="168"/>
        <v>7430000</v>
      </c>
      <c r="S225" s="79">
        <f t="shared" si="178"/>
        <v>45.575552365880291</v>
      </c>
      <c r="T225" s="79">
        <v>0</v>
      </c>
      <c r="U225" s="79">
        <v>0</v>
      </c>
      <c r="V225" s="79">
        <f t="shared" si="179"/>
        <v>45.575552365880291</v>
      </c>
      <c r="W225" s="47">
        <f t="shared" si="176"/>
        <v>8872600</v>
      </c>
      <c r="X225" s="247">
        <f t="shared" si="185"/>
        <v>7430000</v>
      </c>
      <c r="Y225" s="247">
        <f t="shared" si="183"/>
        <v>0</v>
      </c>
      <c r="Z225" s="247">
        <f t="shared" si="184"/>
        <v>0</v>
      </c>
      <c r="AA225" s="93"/>
    </row>
    <row r="226" spans="1:27">
      <c r="A226" s="97" t="s">
        <v>238</v>
      </c>
      <c r="B226" s="97" t="s">
        <v>239</v>
      </c>
      <c r="C226" s="109">
        <v>17970437500</v>
      </c>
      <c r="D226" s="46">
        <v>0</v>
      </c>
      <c r="E226" s="46">
        <v>0</v>
      </c>
      <c r="F226" s="46">
        <f t="shared" si="186"/>
        <v>17970437500</v>
      </c>
      <c r="G226" s="47">
        <v>0</v>
      </c>
      <c r="H226" s="47">
        <v>0</v>
      </c>
      <c r="I226" s="47">
        <v>0</v>
      </c>
      <c r="J226" s="47">
        <f t="shared" si="177"/>
        <v>0</v>
      </c>
      <c r="K226" s="80"/>
      <c r="L226" s="47"/>
      <c r="M226" s="47"/>
      <c r="N226" s="47">
        <f t="shared" si="175"/>
        <v>0</v>
      </c>
      <c r="O226" s="47">
        <f t="shared" si="165"/>
        <v>0</v>
      </c>
      <c r="P226" s="47">
        <f t="shared" si="166"/>
        <v>0</v>
      </c>
      <c r="Q226" s="47">
        <f t="shared" si="167"/>
        <v>0</v>
      </c>
      <c r="R226" s="47">
        <f t="shared" si="168"/>
        <v>0</v>
      </c>
      <c r="S226" s="79">
        <f t="shared" si="178"/>
        <v>0</v>
      </c>
      <c r="T226" s="79">
        <v>0</v>
      </c>
      <c r="U226" s="79">
        <v>0</v>
      </c>
      <c r="V226" s="79">
        <f t="shared" si="179"/>
        <v>0</v>
      </c>
      <c r="W226" s="47">
        <f t="shared" si="176"/>
        <v>17970437500</v>
      </c>
      <c r="X226" s="247">
        <f t="shared" si="185"/>
        <v>0</v>
      </c>
      <c r="Y226" s="247">
        <f t="shared" si="183"/>
        <v>0</v>
      </c>
      <c r="Z226" s="247">
        <f t="shared" si="184"/>
        <v>0</v>
      </c>
      <c r="AA226" s="93"/>
    </row>
    <row r="227" spans="1:27">
      <c r="A227" s="97" t="s">
        <v>139</v>
      </c>
      <c r="B227" s="97" t="s">
        <v>140</v>
      </c>
      <c r="C227" s="109">
        <v>135000000</v>
      </c>
      <c r="D227" s="46">
        <v>0</v>
      </c>
      <c r="E227" s="46">
        <v>0</v>
      </c>
      <c r="F227" s="46">
        <f t="shared" si="186"/>
        <v>135000000</v>
      </c>
      <c r="G227" s="47">
        <v>0</v>
      </c>
      <c r="H227" s="47">
        <v>0</v>
      </c>
      <c r="I227" s="47">
        <v>0</v>
      </c>
      <c r="J227" s="47">
        <f t="shared" si="177"/>
        <v>0</v>
      </c>
      <c r="K227" s="80"/>
      <c r="L227" s="47"/>
      <c r="M227" s="47"/>
      <c r="N227" s="47">
        <f t="shared" si="175"/>
        <v>0</v>
      </c>
      <c r="O227" s="47">
        <f t="shared" si="165"/>
        <v>0</v>
      </c>
      <c r="P227" s="47">
        <f t="shared" si="166"/>
        <v>0</v>
      </c>
      <c r="Q227" s="47">
        <f t="shared" si="167"/>
        <v>0</v>
      </c>
      <c r="R227" s="47">
        <f t="shared" si="168"/>
        <v>0</v>
      </c>
      <c r="S227" s="79">
        <f t="shared" si="178"/>
        <v>0</v>
      </c>
      <c r="T227" s="79">
        <v>0</v>
      </c>
      <c r="U227" s="79">
        <v>0</v>
      </c>
      <c r="V227" s="79">
        <f t="shared" si="179"/>
        <v>0</v>
      </c>
      <c r="W227" s="47">
        <f t="shared" si="176"/>
        <v>135000000</v>
      </c>
      <c r="X227" s="247">
        <f t="shared" si="185"/>
        <v>0</v>
      </c>
      <c r="Y227" s="247">
        <f t="shared" si="183"/>
        <v>0</v>
      </c>
      <c r="Z227" s="247">
        <f t="shared" si="184"/>
        <v>0</v>
      </c>
      <c r="AA227" s="93"/>
    </row>
    <row r="228" spans="1:27">
      <c r="A228" s="97" t="s">
        <v>100</v>
      </c>
      <c r="B228" s="97" t="s">
        <v>101</v>
      </c>
      <c r="C228" s="109">
        <v>1375090000</v>
      </c>
      <c r="D228" s="46">
        <v>0</v>
      </c>
      <c r="E228" s="46">
        <v>0</v>
      </c>
      <c r="F228" s="46">
        <f t="shared" si="186"/>
        <v>1375090000</v>
      </c>
      <c r="G228" s="47">
        <v>433860681</v>
      </c>
      <c r="H228" s="47">
        <v>0</v>
      </c>
      <c r="I228" s="47">
        <v>0</v>
      </c>
      <c r="J228" s="47">
        <f t="shared" si="177"/>
        <v>433860681</v>
      </c>
      <c r="K228" s="80"/>
      <c r="L228" s="47"/>
      <c r="M228" s="47"/>
      <c r="N228" s="47">
        <f t="shared" si="175"/>
        <v>0</v>
      </c>
      <c r="O228" s="47">
        <f t="shared" si="165"/>
        <v>433860681</v>
      </c>
      <c r="P228" s="47">
        <f t="shared" si="166"/>
        <v>0</v>
      </c>
      <c r="Q228" s="47">
        <f t="shared" si="167"/>
        <v>0</v>
      </c>
      <c r="R228" s="47">
        <f t="shared" si="168"/>
        <v>433860681</v>
      </c>
      <c r="S228" s="79">
        <f t="shared" si="178"/>
        <v>31.551438887636447</v>
      </c>
      <c r="T228" s="79">
        <v>0</v>
      </c>
      <c r="U228" s="79">
        <v>0</v>
      </c>
      <c r="V228" s="79">
        <f t="shared" si="179"/>
        <v>31.551438887636447</v>
      </c>
      <c r="W228" s="47">
        <f t="shared" si="176"/>
        <v>941229319</v>
      </c>
      <c r="X228" s="247">
        <f t="shared" si="185"/>
        <v>433860681</v>
      </c>
      <c r="Y228" s="247">
        <f t="shared" si="183"/>
        <v>0</v>
      </c>
      <c r="Z228" s="247">
        <f t="shared" si="184"/>
        <v>0</v>
      </c>
      <c r="AA228" s="93"/>
    </row>
    <row r="229" spans="1:27" s="11" customFormat="1" ht="20.25" customHeight="1">
      <c r="A229" s="35" t="s">
        <v>240</v>
      </c>
      <c r="B229" s="36" t="s">
        <v>241</v>
      </c>
      <c r="C229" s="37">
        <f t="shared" ref="C229:M230" si="193">C230</f>
        <v>435780000</v>
      </c>
      <c r="D229" s="37">
        <f t="shared" si="193"/>
        <v>0</v>
      </c>
      <c r="E229" s="37">
        <f t="shared" si="193"/>
        <v>0</v>
      </c>
      <c r="F229" s="37">
        <f t="shared" si="186"/>
        <v>435780000</v>
      </c>
      <c r="G229" s="37">
        <f t="shared" ref="G229:I229" si="194">G230</f>
        <v>304189118</v>
      </c>
      <c r="H229" s="37">
        <f t="shared" si="194"/>
        <v>0</v>
      </c>
      <c r="I229" s="37">
        <f t="shared" si="194"/>
        <v>0</v>
      </c>
      <c r="J229" s="37">
        <f t="shared" si="177"/>
        <v>304189118</v>
      </c>
      <c r="K229" s="37">
        <f t="shared" si="193"/>
        <v>0</v>
      </c>
      <c r="L229" s="37">
        <f t="shared" si="193"/>
        <v>0</v>
      </c>
      <c r="M229" s="37">
        <f t="shared" si="193"/>
        <v>0</v>
      </c>
      <c r="N229" s="37">
        <f t="shared" si="175"/>
        <v>0</v>
      </c>
      <c r="O229" s="37">
        <f t="shared" si="165"/>
        <v>304189118</v>
      </c>
      <c r="P229" s="37">
        <f t="shared" si="166"/>
        <v>0</v>
      </c>
      <c r="Q229" s="37">
        <f t="shared" si="167"/>
        <v>0</v>
      </c>
      <c r="R229" s="37">
        <f t="shared" si="168"/>
        <v>304189118</v>
      </c>
      <c r="S229" s="76">
        <f t="shared" si="178"/>
        <v>69.803368213318649</v>
      </c>
      <c r="T229" s="76">
        <v>0</v>
      </c>
      <c r="U229" s="76">
        <v>0</v>
      </c>
      <c r="V229" s="76">
        <f t="shared" si="179"/>
        <v>69.803368213318649</v>
      </c>
      <c r="W229" s="37">
        <f t="shared" si="176"/>
        <v>131590882</v>
      </c>
      <c r="X229" s="247">
        <f t="shared" si="185"/>
        <v>304189118</v>
      </c>
      <c r="Y229" s="247">
        <f t="shared" si="183"/>
        <v>0</v>
      </c>
      <c r="Z229" s="247">
        <f t="shared" si="184"/>
        <v>0</v>
      </c>
      <c r="AA229" s="93"/>
    </row>
    <row r="230" spans="1:27" s="9" customFormat="1" ht="21" customHeight="1">
      <c r="A230" s="38" t="s">
        <v>242</v>
      </c>
      <c r="B230" s="61" t="s">
        <v>243</v>
      </c>
      <c r="C230" s="62">
        <f>C231+C238</f>
        <v>435780000</v>
      </c>
      <c r="D230" s="62">
        <f t="shared" si="193"/>
        <v>0</v>
      </c>
      <c r="E230" s="62">
        <f t="shared" si="193"/>
        <v>0</v>
      </c>
      <c r="F230" s="62">
        <f t="shared" si="186"/>
        <v>435780000</v>
      </c>
      <c r="G230" s="62">
        <f>G231+G238</f>
        <v>304189118</v>
      </c>
      <c r="H230" s="62">
        <f t="shared" ref="H230:I230" si="195">H231+H238</f>
        <v>0</v>
      </c>
      <c r="I230" s="62">
        <f t="shared" si="195"/>
        <v>0</v>
      </c>
      <c r="J230" s="62">
        <f t="shared" si="177"/>
        <v>304189118</v>
      </c>
      <c r="K230" s="62">
        <f>K231+K238</f>
        <v>0</v>
      </c>
      <c r="L230" s="62">
        <f t="shared" ref="L230:M230" si="196">L231+L238</f>
        <v>0</v>
      </c>
      <c r="M230" s="62">
        <f t="shared" si="196"/>
        <v>0</v>
      </c>
      <c r="N230" s="62">
        <f t="shared" si="175"/>
        <v>0</v>
      </c>
      <c r="O230" s="62">
        <f t="shared" si="165"/>
        <v>304189118</v>
      </c>
      <c r="P230" s="62">
        <f t="shared" si="166"/>
        <v>0</v>
      </c>
      <c r="Q230" s="62">
        <f t="shared" si="167"/>
        <v>0</v>
      </c>
      <c r="R230" s="62">
        <f t="shared" si="168"/>
        <v>304189118</v>
      </c>
      <c r="S230" s="85">
        <f t="shared" si="178"/>
        <v>69.803368213318649</v>
      </c>
      <c r="T230" s="85">
        <v>0</v>
      </c>
      <c r="U230" s="85">
        <v>0</v>
      </c>
      <c r="V230" s="85">
        <f t="shared" si="179"/>
        <v>69.803368213318649</v>
      </c>
      <c r="W230" s="62">
        <f t="shared" si="176"/>
        <v>131590882</v>
      </c>
      <c r="X230" s="247">
        <f t="shared" si="185"/>
        <v>304189118</v>
      </c>
      <c r="Y230" s="247">
        <f t="shared" si="183"/>
        <v>0</v>
      </c>
      <c r="Z230" s="247">
        <f t="shared" si="184"/>
        <v>0</v>
      </c>
      <c r="AA230" s="93"/>
    </row>
    <row r="231" spans="1:27" s="5" customFormat="1">
      <c r="A231" s="59" t="s">
        <v>244</v>
      </c>
      <c r="B231" s="59" t="s">
        <v>245</v>
      </c>
      <c r="C231" s="110">
        <f>SUM(C232:C237)</f>
        <v>278380000</v>
      </c>
      <c r="D231" s="110">
        <f t="shared" ref="D231:M231" si="197">SUM(D232:D237)</f>
        <v>0</v>
      </c>
      <c r="E231" s="110">
        <f>SUM(E232:E237)</f>
        <v>0</v>
      </c>
      <c r="F231" s="110">
        <f t="shared" si="186"/>
        <v>278380000</v>
      </c>
      <c r="G231" s="110">
        <f t="shared" ref="G231:I231" si="198">SUM(G232:G237)</f>
        <v>191733318</v>
      </c>
      <c r="H231" s="110">
        <f t="shared" si="198"/>
        <v>0</v>
      </c>
      <c r="I231" s="110">
        <f t="shared" si="198"/>
        <v>0</v>
      </c>
      <c r="J231" s="110">
        <f t="shared" si="177"/>
        <v>191733318</v>
      </c>
      <c r="K231" s="110">
        <f t="shared" si="197"/>
        <v>0</v>
      </c>
      <c r="L231" s="110">
        <f t="shared" si="197"/>
        <v>0</v>
      </c>
      <c r="M231" s="110">
        <f t="shared" si="197"/>
        <v>0</v>
      </c>
      <c r="N231" s="110">
        <f t="shared" si="175"/>
        <v>0</v>
      </c>
      <c r="O231" s="110">
        <f t="shared" si="165"/>
        <v>191733318</v>
      </c>
      <c r="P231" s="110">
        <f t="shared" si="166"/>
        <v>0</v>
      </c>
      <c r="Q231" s="110">
        <f t="shared" si="167"/>
        <v>0</v>
      </c>
      <c r="R231" s="110">
        <f t="shared" si="168"/>
        <v>191733318</v>
      </c>
      <c r="S231" s="114">
        <f t="shared" si="178"/>
        <v>68.874674186363961</v>
      </c>
      <c r="T231" s="114">
        <v>0</v>
      </c>
      <c r="U231" s="114">
        <v>0</v>
      </c>
      <c r="V231" s="114">
        <f t="shared" si="179"/>
        <v>68.874674186363961</v>
      </c>
      <c r="W231" s="110">
        <f t="shared" si="176"/>
        <v>86646682</v>
      </c>
      <c r="X231" s="247">
        <f t="shared" si="185"/>
        <v>191733318</v>
      </c>
      <c r="Y231" s="247">
        <f t="shared" si="183"/>
        <v>0</v>
      </c>
      <c r="Z231" s="247">
        <f t="shared" si="184"/>
        <v>0</v>
      </c>
      <c r="AA231" s="93"/>
    </row>
    <row r="232" spans="1:27">
      <c r="A232" s="44" t="s">
        <v>128</v>
      </c>
      <c r="B232" s="45" t="s">
        <v>113</v>
      </c>
      <c r="C232" s="46">
        <v>1480000</v>
      </c>
      <c r="D232" s="46">
        <v>0</v>
      </c>
      <c r="E232" s="46">
        <v>0</v>
      </c>
      <c r="F232" s="46">
        <f t="shared" si="186"/>
        <v>1480000</v>
      </c>
      <c r="G232" s="48">
        <v>984900</v>
      </c>
      <c r="H232" s="47">
        <v>0</v>
      </c>
      <c r="I232" s="47">
        <v>0</v>
      </c>
      <c r="J232" s="47">
        <f t="shared" si="177"/>
        <v>984900</v>
      </c>
      <c r="K232" s="47"/>
      <c r="L232" s="47"/>
      <c r="M232" s="47"/>
      <c r="N232" s="47">
        <f t="shared" si="175"/>
        <v>0</v>
      </c>
      <c r="O232" s="47">
        <f t="shared" si="165"/>
        <v>984900</v>
      </c>
      <c r="P232" s="47">
        <f t="shared" si="166"/>
        <v>0</v>
      </c>
      <c r="Q232" s="47">
        <f t="shared" si="167"/>
        <v>0</v>
      </c>
      <c r="R232" s="47">
        <f t="shared" si="168"/>
        <v>984900</v>
      </c>
      <c r="S232" s="79">
        <f t="shared" si="178"/>
        <v>66.547297297297291</v>
      </c>
      <c r="T232" s="79">
        <v>0</v>
      </c>
      <c r="U232" s="79">
        <v>0</v>
      </c>
      <c r="V232" s="79">
        <f t="shared" si="179"/>
        <v>66.547297297297291</v>
      </c>
      <c r="W232" s="47">
        <f t="shared" si="176"/>
        <v>495100</v>
      </c>
      <c r="X232" s="247">
        <f t="shared" si="185"/>
        <v>984900</v>
      </c>
      <c r="Y232" s="247">
        <f t="shared" si="183"/>
        <v>0</v>
      </c>
      <c r="Z232" s="247">
        <f t="shared" si="184"/>
        <v>0</v>
      </c>
      <c r="AA232" s="93"/>
    </row>
    <row r="233" spans="1:27" ht="18.75" customHeight="1">
      <c r="A233" s="44" t="s">
        <v>231</v>
      </c>
      <c r="B233" s="45" t="s">
        <v>119</v>
      </c>
      <c r="C233" s="46">
        <v>7800000</v>
      </c>
      <c r="D233" s="46">
        <v>0</v>
      </c>
      <c r="E233" s="46">
        <v>0</v>
      </c>
      <c r="F233" s="46">
        <f t="shared" si="186"/>
        <v>7800000</v>
      </c>
      <c r="G233" s="47">
        <v>7800000</v>
      </c>
      <c r="H233" s="47">
        <v>0</v>
      </c>
      <c r="I233" s="47">
        <v>0</v>
      </c>
      <c r="J233" s="47">
        <f t="shared" si="177"/>
        <v>7800000</v>
      </c>
      <c r="K233" s="47"/>
      <c r="L233" s="47"/>
      <c r="M233" s="47"/>
      <c r="N233" s="47">
        <f t="shared" si="175"/>
        <v>0</v>
      </c>
      <c r="O233" s="47">
        <f t="shared" si="165"/>
        <v>7800000</v>
      </c>
      <c r="P233" s="47">
        <f t="shared" si="166"/>
        <v>0</v>
      </c>
      <c r="Q233" s="47">
        <f t="shared" si="167"/>
        <v>0</v>
      </c>
      <c r="R233" s="47">
        <f t="shared" si="168"/>
        <v>7800000</v>
      </c>
      <c r="S233" s="79">
        <f t="shared" si="178"/>
        <v>100</v>
      </c>
      <c r="T233" s="79">
        <v>0</v>
      </c>
      <c r="U233" s="79">
        <v>0</v>
      </c>
      <c r="V233" s="79">
        <f t="shared" si="179"/>
        <v>100</v>
      </c>
      <c r="W233" s="47">
        <f t="shared" si="176"/>
        <v>0</v>
      </c>
      <c r="X233" s="247">
        <f t="shared" si="185"/>
        <v>7800000</v>
      </c>
      <c r="Y233" s="247">
        <f t="shared" si="183"/>
        <v>0</v>
      </c>
      <c r="Z233" s="247">
        <f t="shared" si="184"/>
        <v>0</v>
      </c>
      <c r="AA233" s="93"/>
    </row>
    <row r="234" spans="1:27">
      <c r="A234" s="44" t="s">
        <v>124</v>
      </c>
      <c r="B234" s="45" t="s">
        <v>125</v>
      </c>
      <c r="C234" s="46">
        <v>56250000</v>
      </c>
      <c r="D234" s="46">
        <v>0</v>
      </c>
      <c r="E234" s="46">
        <v>0</v>
      </c>
      <c r="F234" s="46">
        <f t="shared" si="186"/>
        <v>56250000</v>
      </c>
      <c r="G234" s="47">
        <v>56250000</v>
      </c>
      <c r="H234" s="47">
        <v>0</v>
      </c>
      <c r="I234" s="47">
        <v>0</v>
      </c>
      <c r="J234" s="47">
        <f t="shared" si="177"/>
        <v>56250000</v>
      </c>
      <c r="K234" s="47"/>
      <c r="L234" s="47"/>
      <c r="M234" s="47"/>
      <c r="N234" s="47">
        <f t="shared" si="175"/>
        <v>0</v>
      </c>
      <c r="O234" s="47">
        <f t="shared" si="165"/>
        <v>56250000</v>
      </c>
      <c r="P234" s="47">
        <f t="shared" si="166"/>
        <v>0</v>
      </c>
      <c r="Q234" s="47">
        <f t="shared" si="167"/>
        <v>0</v>
      </c>
      <c r="R234" s="47">
        <f t="shared" si="168"/>
        <v>56250000</v>
      </c>
      <c r="S234" s="79">
        <f t="shared" si="178"/>
        <v>100</v>
      </c>
      <c r="T234" s="79">
        <v>0</v>
      </c>
      <c r="U234" s="79">
        <v>0</v>
      </c>
      <c r="V234" s="79">
        <f t="shared" si="179"/>
        <v>100</v>
      </c>
      <c r="W234" s="47">
        <f t="shared" si="176"/>
        <v>0</v>
      </c>
      <c r="X234" s="247">
        <f t="shared" si="185"/>
        <v>56250000</v>
      </c>
      <c r="Y234" s="247">
        <f t="shared" si="183"/>
        <v>0</v>
      </c>
      <c r="Z234" s="247">
        <f t="shared" si="184"/>
        <v>0</v>
      </c>
      <c r="AA234" s="93"/>
    </row>
    <row r="235" spans="1:27">
      <c r="A235" s="44" t="s">
        <v>137</v>
      </c>
      <c r="B235" s="45" t="s">
        <v>138</v>
      </c>
      <c r="C235" s="46">
        <v>1800000</v>
      </c>
      <c r="D235" s="46">
        <v>0</v>
      </c>
      <c r="E235" s="46">
        <v>0</v>
      </c>
      <c r="F235" s="46">
        <f t="shared" si="186"/>
        <v>1800000</v>
      </c>
      <c r="G235" s="47">
        <v>900000</v>
      </c>
      <c r="H235" s="47">
        <v>0</v>
      </c>
      <c r="I235" s="47">
        <v>0</v>
      </c>
      <c r="J235" s="47">
        <f t="shared" si="177"/>
        <v>900000</v>
      </c>
      <c r="K235" s="47"/>
      <c r="L235" s="47"/>
      <c r="M235" s="47"/>
      <c r="N235" s="47">
        <f t="shared" si="175"/>
        <v>0</v>
      </c>
      <c r="O235" s="47">
        <f t="shared" si="165"/>
        <v>900000</v>
      </c>
      <c r="P235" s="47">
        <f t="shared" si="166"/>
        <v>0</v>
      </c>
      <c r="Q235" s="47">
        <f t="shared" si="167"/>
        <v>0</v>
      </c>
      <c r="R235" s="47">
        <f t="shared" si="168"/>
        <v>900000</v>
      </c>
      <c r="S235" s="79">
        <f t="shared" si="178"/>
        <v>50</v>
      </c>
      <c r="T235" s="79">
        <v>0</v>
      </c>
      <c r="U235" s="79">
        <v>0</v>
      </c>
      <c r="V235" s="79">
        <f t="shared" si="179"/>
        <v>50</v>
      </c>
      <c r="W235" s="47">
        <f t="shared" si="176"/>
        <v>900000</v>
      </c>
      <c r="X235" s="247">
        <f t="shared" si="185"/>
        <v>900000</v>
      </c>
      <c r="Y235" s="247">
        <f t="shared" si="183"/>
        <v>0</v>
      </c>
      <c r="Z235" s="247">
        <f t="shared" si="184"/>
        <v>0</v>
      </c>
      <c r="AA235" s="93"/>
    </row>
    <row r="236" spans="1:27">
      <c r="A236" s="44" t="s">
        <v>100</v>
      </c>
      <c r="B236" s="45" t="s">
        <v>101</v>
      </c>
      <c r="C236" s="46">
        <v>203550000</v>
      </c>
      <c r="D236" s="46">
        <v>0</v>
      </c>
      <c r="E236" s="46">
        <v>0</v>
      </c>
      <c r="F236" s="46">
        <f t="shared" si="186"/>
        <v>203550000</v>
      </c>
      <c r="G236" s="47">
        <v>118298418</v>
      </c>
      <c r="H236" s="47">
        <v>0</v>
      </c>
      <c r="I236" s="47">
        <v>0</v>
      </c>
      <c r="J236" s="47">
        <f t="shared" si="177"/>
        <v>118298418</v>
      </c>
      <c r="K236" s="80"/>
      <c r="L236" s="47"/>
      <c r="M236" s="47"/>
      <c r="N236" s="47">
        <f t="shared" si="175"/>
        <v>0</v>
      </c>
      <c r="O236" s="47">
        <f t="shared" si="165"/>
        <v>118298418</v>
      </c>
      <c r="P236" s="47">
        <f t="shared" si="166"/>
        <v>0</v>
      </c>
      <c r="Q236" s="47">
        <f t="shared" si="167"/>
        <v>0</v>
      </c>
      <c r="R236" s="47">
        <f t="shared" si="168"/>
        <v>118298418</v>
      </c>
      <c r="S236" s="79">
        <f t="shared" si="178"/>
        <v>58.117621223286662</v>
      </c>
      <c r="T236" s="79">
        <v>0</v>
      </c>
      <c r="U236" s="79">
        <v>0</v>
      </c>
      <c r="V236" s="79">
        <f t="shared" si="179"/>
        <v>58.117621223286662</v>
      </c>
      <c r="W236" s="47">
        <f t="shared" si="176"/>
        <v>85251582</v>
      </c>
      <c r="X236" s="247">
        <f t="shared" si="185"/>
        <v>118298418</v>
      </c>
      <c r="Y236" s="247">
        <f t="shared" si="183"/>
        <v>0</v>
      </c>
      <c r="Z236" s="247">
        <f t="shared" si="184"/>
        <v>0</v>
      </c>
      <c r="AA236" s="93"/>
    </row>
    <row r="237" spans="1:27">
      <c r="A237" s="44" t="s">
        <v>252</v>
      </c>
      <c r="B237" s="45" t="s">
        <v>253</v>
      </c>
      <c r="C237" s="46">
        <v>7500000</v>
      </c>
      <c r="D237" s="46">
        <v>0</v>
      </c>
      <c r="E237" s="46">
        <v>0</v>
      </c>
      <c r="F237" s="46">
        <f t="shared" si="186"/>
        <v>7500000</v>
      </c>
      <c r="G237" s="47">
        <v>7500000</v>
      </c>
      <c r="H237" s="47">
        <v>0</v>
      </c>
      <c r="I237" s="47">
        <v>0</v>
      </c>
      <c r="J237" s="47">
        <f t="shared" si="177"/>
        <v>7500000</v>
      </c>
      <c r="K237" s="80"/>
      <c r="L237" s="47"/>
      <c r="M237" s="47"/>
      <c r="N237" s="47">
        <f t="shared" si="175"/>
        <v>0</v>
      </c>
      <c r="O237" s="47">
        <f t="shared" si="165"/>
        <v>7500000</v>
      </c>
      <c r="P237" s="47">
        <f t="shared" si="166"/>
        <v>0</v>
      </c>
      <c r="Q237" s="47">
        <f t="shared" si="167"/>
        <v>0</v>
      </c>
      <c r="R237" s="47">
        <f t="shared" si="168"/>
        <v>7500000</v>
      </c>
      <c r="S237" s="79">
        <f t="shared" si="178"/>
        <v>100</v>
      </c>
      <c r="T237" s="79">
        <v>0</v>
      </c>
      <c r="U237" s="79">
        <v>0</v>
      </c>
      <c r="V237" s="79">
        <f t="shared" si="179"/>
        <v>100</v>
      </c>
      <c r="W237" s="47">
        <f t="shared" si="176"/>
        <v>0</v>
      </c>
      <c r="X237" s="247">
        <f t="shared" si="185"/>
        <v>7500000</v>
      </c>
      <c r="Y237" s="247">
        <f t="shared" si="183"/>
        <v>0</v>
      </c>
      <c r="Z237" s="247">
        <f t="shared" si="184"/>
        <v>0</v>
      </c>
      <c r="AA237" s="93"/>
    </row>
    <row r="238" spans="1:27" s="5" customFormat="1">
      <c r="A238" s="59" t="s">
        <v>358</v>
      </c>
      <c r="B238" s="59" t="s">
        <v>524</v>
      </c>
      <c r="C238" s="110">
        <f>SUM(C239:C244)</f>
        <v>157400000</v>
      </c>
      <c r="D238" s="110">
        <f t="shared" ref="D238:M238" si="199">SUM(D239:D244)</f>
        <v>0</v>
      </c>
      <c r="E238" s="110">
        <f>SUM(E239:E244)</f>
        <v>0</v>
      </c>
      <c r="F238" s="110">
        <f t="shared" si="186"/>
        <v>157400000</v>
      </c>
      <c r="G238" s="110">
        <f t="shared" ref="G238:I238" si="200">SUM(G239:G244)</f>
        <v>112455800</v>
      </c>
      <c r="H238" s="110">
        <f t="shared" si="200"/>
        <v>0</v>
      </c>
      <c r="I238" s="110">
        <f t="shared" si="200"/>
        <v>0</v>
      </c>
      <c r="J238" s="110">
        <f t="shared" si="177"/>
        <v>112455800</v>
      </c>
      <c r="K238" s="110">
        <f t="shared" si="199"/>
        <v>0</v>
      </c>
      <c r="L238" s="110">
        <f t="shared" si="199"/>
        <v>0</v>
      </c>
      <c r="M238" s="110">
        <f t="shared" si="199"/>
        <v>0</v>
      </c>
      <c r="N238" s="110">
        <f t="shared" si="175"/>
        <v>0</v>
      </c>
      <c r="O238" s="110">
        <f t="shared" si="165"/>
        <v>112455800</v>
      </c>
      <c r="P238" s="110">
        <f t="shared" si="166"/>
        <v>0</v>
      </c>
      <c r="Q238" s="110">
        <f t="shared" si="167"/>
        <v>0</v>
      </c>
      <c r="R238" s="110">
        <f t="shared" si="168"/>
        <v>112455800</v>
      </c>
      <c r="S238" s="114">
        <f t="shared" si="178"/>
        <v>71.44587039390089</v>
      </c>
      <c r="T238" s="114">
        <v>0</v>
      </c>
      <c r="U238" s="114">
        <v>0</v>
      </c>
      <c r="V238" s="114">
        <f t="shared" si="179"/>
        <v>71.44587039390089</v>
      </c>
      <c r="W238" s="110">
        <f t="shared" si="176"/>
        <v>44944200</v>
      </c>
      <c r="X238" s="247">
        <f t="shared" si="185"/>
        <v>112455800</v>
      </c>
      <c r="Y238" s="247">
        <f t="shared" si="183"/>
        <v>0</v>
      </c>
      <c r="Z238" s="247">
        <f t="shared" si="184"/>
        <v>0</v>
      </c>
      <c r="AA238" s="93"/>
    </row>
    <row r="239" spans="1:27">
      <c r="A239" s="44" t="s">
        <v>128</v>
      </c>
      <c r="B239" s="45" t="s">
        <v>113</v>
      </c>
      <c r="C239" s="46">
        <v>730000</v>
      </c>
      <c r="D239" s="46">
        <v>0</v>
      </c>
      <c r="E239" s="46">
        <v>0</v>
      </c>
      <c r="F239" s="46">
        <f t="shared" si="186"/>
        <v>730000</v>
      </c>
      <c r="G239" s="48">
        <v>482400</v>
      </c>
      <c r="H239" s="47">
        <v>0</v>
      </c>
      <c r="I239" s="47">
        <v>0</v>
      </c>
      <c r="J239" s="47">
        <f t="shared" si="177"/>
        <v>482400</v>
      </c>
      <c r="K239" s="47"/>
      <c r="L239" s="47"/>
      <c r="M239" s="47"/>
      <c r="N239" s="47">
        <f t="shared" si="175"/>
        <v>0</v>
      </c>
      <c r="O239" s="47">
        <f t="shared" si="165"/>
        <v>482400</v>
      </c>
      <c r="P239" s="47">
        <f t="shared" si="166"/>
        <v>0</v>
      </c>
      <c r="Q239" s="47">
        <f t="shared" si="167"/>
        <v>0</v>
      </c>
      <c r="R239" s="47">
        <f t="shared" si="168"/>
        <v>482400</v>
      </c>
      <c r="S239" s="79">
        <f t="shared" si="178"/>
        <v>66.082191780821915</v>
      </c>
      <c r="T239" s="79">
        <v>0</v>
      </c>
      <c r="U239" s="79">
        <v>0</v>
      </c>
      <c r="V239" s="79">
        <f t="shared" si="179"/>
        <v>66.082191780821915</v>
      </c>
      <c r="W239" s="47">
        <f t="shared" si="176"/>
        <v>247600</v>
      </c>
      <c r="X239" s="247">
        <f t="shared" si="185"/>
        <v>482400</v>
      </c>
      <c r="Y239" s="247">
        <f t="shared" si="183"/>
        <v>0</v>
      </c>
      <c r="Z239" s="247">
        <f t="shared" si="184"/>
        <v>0</v>
      </c>
      <c r="AA239" s="93"/>
    </row>
    <row r="240" spans="1:27" ht="18.75" customHeight="1">
      <c r="A240" s="44" t="s">
        <v>231</v>
      </c>
      <c r="B240" s="45" t="s">
        <v>119</v>
      </c>
      <c r="C240" s="46">
        <v>5200000</v>
      </c>
      <c r="D240" s="46">
        <v>0</v>
      </c>
      <c r="E240" s="46">
        <v>0</v>
      </c>
      <c r="F240" s="46">
        <f t="shared" si="186"/>
        <v>5200000</v>
      </c>
      <c r="G240" s="47">
        <v>5200000</v>
      </c>
      <c r="H240" s="47">
        <v>0</v>
      </c>
      <c r="I240" s="47">
        <v>0</v>
      </c>
      <c r="J240" s="47">
        <f t="shared" si="177"/>
        <v>5200000</v>
      </c>
      <c r="K240" s="47"/>
      <c r="L240" s="47"/>
      <c r="M240" s="47"/>
      <c r="N240" s="47">
        <f t="shared" si="175"/>
        <v>0</v>
      </c>
      <c r="O240" s="47">
        <f t="shared" si="165"/>
        <v>5200000</v>
      </c>
      <c r="P240" s="47">
        <f t="shared" si="166"/>
        <v>0</v>
      </c>
      <c r="Q240" s="47">
        <f t="shared" si="167"/>
        <v>0</v>
      </c>
      <c r="R240" s="47">
        <f t="shared" si="168"/>
        <v>5200000</v>
      </c>
      <c r="S240" s="79">
        <f t="shared" si="178"/>
        <v>100</v>
      </c>
      <c r="T240" s="79">
        <v>0</v>
      </c>
      <c r="U240" s="79">
        <v>0</v>
      </c>
      <c r="V240" s="79">
        <f t="shared" si="179"/>
        <v>100</v>
      </c>
      <c r="W240" s="47">
        <f t="shared" si="176"/>
        <v>0</v>
      </c>
      <c r="X240" s="247">
        <f t="shared" si="185"/>
        <v>5200000</v>
      </c>
      <c r="Y240" s="247">
        <f t="shared" si="183"/>
        <v>0</v>
      </c>
      <c r="Z240" s="247">
        <f t="shared" si="184"/>
        <v>0</v>
      </c>
      <c r="AA240" s="93"/>
    </row>
    <row r="241" spans="1:27">
      <c r="A241" s="44" t="s">
        <v>124</v>
      </c>
      <c r="B241" s="45" t="s">
        <v>125</v>
      </c>
      <c r="C241" s="46">
        <v>30000000</v>
      </c>
      <c r="D241" s="46">
        <v>0</v>
      </c>
      <c r="E241" s="46">
        <v>0</v>
      </c>
      <c r="F241" s="46">
        <f t="shared" si="186"/>
        <v>30000000</v>
      </c>
      <c r="G241" s="47">
        <v>28000000</v>
      </c>
      <c r="H241" s="47">
        <v>0</v>
      </c>
      <c r="I241" s="47">
        <v>0</v>
      </c>
      <c r="J241" s="47">
        <f t="shared" si="177"/>
        <v>28000000</v>
      </c>
      <c r="K241" s="47"/>
      <c r="L241" s="47"/>
      <c r="M241" s="47"/>
      <c r="N241" s="47">
        <f t="shared" si="175"/>
        <v>0</v>
      </c>
      <c r="O241" s="47">
        <f t="shared" si="165"/>
        <v>28000000</v>
      </c>
      <c r="P241" s="47">
        <f t="shared" si="166"/>
        <v>0</v>
      </c>
      <c r="Q241" s="47">
        <f t="shared" si="167"/>
        <v>0</v>
      </c>
      <c r="R241" s="47">
        <f t="shared" si="168"/>
        <v>28000000</v>
      </c>
      <c r="S241" s="79">
        <f t="shared" si="178"/>
        <v>93.333333333333329</v>
      </c>
      <c r="T241" s="79">
        <v>0</v>
      </c>
      <c r="U241" s="79">
        <v>0</v>
      </c>
      <c r="V241" s="79">
        <f t="shared" si="179"/>
        <v>93.333333333333329</v>
      </c>
      <c r="W241" s="47">
        <f t="shared" si="176"/>
        <v>2000000</v>
      </c>
      <c r="X241" s="247">
        <f t="shared" si="185"/>
        <v>28000000</v>
      </c>
      <c r="Y241" s="247">
        <f t="shared" si="183"/>
        <v>0</v>
      </c>
      <c r="Z241" s="247">
        <f t="shared" si="184"/>
        <v>0</v>
      </c>
      <c r="AA241" s="93"/>
    </row>
    <row r="242" spans="1:27">
      <c r="A242" s="44" t="s">
        <v>137</v>
      </c>
      <c r="B242" s="45" t="s">
        <v>138</v>
      </c>
      <c r="C242" s="46">
        <v>1800000</v>
      </c>
      <c r="D242" s="46">
        <v>0</v>
      </c>
      <c r="E242" s="46">
        <v>0</v>
      </c>
      <c r="F242" s="46">
        <f t="shared" si="186"/>
        <v>1800000</v>
      </c>
      <c r="G242" s="47">
        <v>1800000</v>
      </c>
      <c r="H242" s="47">
        <v>0</v>
      </c>
      <c r="I242" s="47">
        <v>0</v>
      </c>
      <c r="J242" s="47">
        <f t="shared" si="177"/>
        <v>1800000</v>
      </c>
      <c r="K242" s="47"/>
      <c r="L242" s="47"/>
      <c r="M242" s="47"/>
      <c r="N242" s="47">
        <f t="shared" si="175"/>
        <v>0</v>
      </c>
      <c r="O242" s="47">
        <f t="shared" si="165"/>
        <v>1800000</v>
      </c>
      <c r="P242" s="47">
        <f t="shared" si="166"/>
        <v>0</v>
      </c>
      <c r="Q242" s="47">
        <f t="shared" si="167"/>
        <v>0</v>
      </c>
      <c r="R242" s="47">
        <f t="shared" si="168"/>
        <v>1800000</v>
      </c>
      <c r="S242" s="79">
        <f t="shared" si="178"/>
        <v>100</v>
      </c>
      <c r="T242" s="79">
        <v>0</v>
      </c>
      <c r="U242" s="79">
        <v>0</v>
      </c>
      <c r="V242" s="79">
        <f t="shared" si="179"/>
        <v>100</v>
      </c>
      <c r="W242" s="47">
        <f t="shared" si="176"/>
        <v>0</v>
      </c>
      <c r="X242" s="247">
        <f t="shared" si="185"/>
        <v>1800000</v>
      </c>
      <c r="Y242" s="247">
        <f t="shared" si="183"/>
        <v>0</v>
      </c>
      <c r="Z242" s="247">
        <f t="shared" si="184"/>
        <v>0</v>
      </c>
      <c r="AA242" s="93"/>
    </row>
    <row r="243" spans="1:27">
      <c r="A243" s="44" t="s">
        <v>100</v>
      </c>
      <c r="B243" s="45" t="s">
        <v>101</v>
      </c>
      <c r="C243" s="46">
        <v>116670000</v>
      </c>
      <c r="D243" s="46">
        <v>0</v>
      </c>
      <c r="E243" s="46">
        <v>0</v>
      </c>
      <c r="F243" s="46">
        <f t="shared" si="186"/>
        <v>116670000</v>
      </c>
      <c r="G243" s="47">
        <v>73973400</v>
      </c>
      <c r="H243" s="47">
        <v>0</v>
      </c>
      <c r="I243" s="47">
        <v>0</v>
      </c>
      <c r="J243" s="47">
        <f t="shared" si="177"/>
        <v>73973400</v>
      </c>
      <c r="K243" s="80"/>
      <c r="L243" s="47"/>
      <c r="M243" s="47"/>
      <c r="N243" s="47">
        <f t="shared" si="175"/>
        <v>0</v>
      </c>
      <c r="O243" s="47">
        <f t="shared" si="165"/>
        <v>73973400</v>
      </c>
      <c r="P243" s="47">
        <f t="shared" si="166"/>
        <v>0</v>
      </c>
      <c r="Q243" s="47">
        <f t="shared" si="167"/>
        <v>0</v>
      </c>
      <c r="R243" s="47">
        <f t="shared" si="168"/>
        <v>73973400</v>
      </c>
      <c r="S243" s="79">
        <f t="shared" si="178"/>
        <v>63.40395988686037</v>
      </c>
      <c r="T243" s="79">
        <v>0</v>
      </c>
      <c r="U243" s="79">
        <v>0</v>
      </c>
      <c r="V243" s="79">
        <f t="shared" si="179"/>
        <v>63.40395988686037</v>
      </c>
      <c r="W243" s="47">
        <f t="shared" si="176"/>
        <v>42696600</v>
      </c>
      <c r="X243" s="247">
        <f t="shared" si="185"/>
        <v>73973400</v>
      </c>
      <c r="Y243" s="247">
        <f t="shared" si="183"/>
        <v>0</v>
      </c>
      <c r="Z243" s="247">
        <f t="shared" si="184"/>
        <v>0</v>
      </c>
      <c r="AA243" s="93"/>
    </row>
    <row r="244" spans="1:27">
      <c r="A244" s="44" t="s">
        <v>252</v>
      </c>
      <c r="B244" s="45" t="s">
        <v>253</v>
      </c>
      <c r="C244" s="46">
        <v>3000000</v>
      </c>
      <c r="D244" s="46">
        <v>0</v>
      </c>
      <c r="E244" s="46">
        <v>0</v>
      </c>
      <c r="F244" s="46">
        <f t="shared" si="186"/>
        <v>3000000</v>
      </c>
      <c r="G244" s="47">
        <v>3000000</v>
      </c>
      <c r="H244" s="47">
        <v>0</v>
      </c>
      <c r="I244" s="47">
        <v>0</v>
      </c>
      <c r="J244" s="47">
        <f t="shared" si="177"/>
        <v>3000000</v>
      </c>
      <c r="K244" s="80"/>
      <c r="L244" s="47"/>
      <c r="M244" s="47"/>
      <c r="N244" s="47">
        <f t="shared" si="175"/>
        <v>0</v>
      </c>
      <c r="O244" s="47">
        <f t="shared" si="165"/>
        <v>3000000</v>
      </c>
      <c r="P244" s="47">
        <f t="shared" si="166"/>
        <v>0</v>
      </c>
      <c r="Q244" s="47">
        <f t="shared" si="167"/>
        <v>0</v>
      </c>
      <c r="R244" s="47">
        <f t="shared" si="168"/>
        <v>3000000</v>
      </c>
      <c r="S244" s="79">
        <f t="shared" si="178"/>
        <v>100</v>
      </c>
      <c r="T244" s="79">
        <v>0</v>
      </c>
      <c r="U244" s="79">
        <v>0</v>
      </c>
      <c r="V244" s="79">
        <f t="shared" si="179"/>
        <v>100</v>
      </c>
      <c r="W244" s="47">
        <f t="shared" si="176"/>
        <v>0</v>
      </c>
      <c r="X244" s="247">
        <f t="shared" si="185"/>
        <v>3000000</v>
      </c>
      <c r="Y244" s="247">
        <f t="shared" si="183"/>
        <v>0</v>
      </c>
      <c r="Z244" s="247">
        <f t="shared" si="184"/>
        <v>0</v>
      </c>
      <c r="AA244" s="93"/>
    </row>
    <row r="245" spans="1:27" s="13" customFormat="1" ht="18">
      <c r="A245" s="35" t="s">
        <v>246</v>
      </c>
      <c r="B245" s="111" t="s">
        <v>247</v>
      </c>
      <c r="C245" s="112">
        <f>C246+C254+C262</f>
        <v>1830977500</v>
      </c>
      <c r="D245" s="112">
        <f>D246+D254+D262</f>
        <v>368452000</v>
      </c>
      <c r="E245" s="112">
        <f>E246+E254+E262</f>
        <v>0</v>
      </c>
      <c r="F245" s="112">
        <f t="shared" si="186"/>
        <v>2199429500</v>
      </c>
      <c r="G245" s="112">
        <f t="shared" ref="G245:I245" si="201">G246+G254+G262</f>
        <v>1167794185</v>
      </c>
      <c r="H245" s="112">
        <f t="shared" si="201"/>
        <v>311786242</v>
      </c>
      <c r="I245" s="112">
        <f t="shared" si="201"/>
        <v>0</v>
      </c>
      <c r="J245" s="112">
        <f t="shared" si="177"/>
        <v>1479580427</v>
      </c>
      <c r="K245" s="112">
        <f t="shared" ref="K245:M245" si="202">K246+K254+K262</f>
        <v>0</v>
      </c>
      <c r="L245" s="112">
        <f t="shared" si="202"/>
        <v>0</v>
      </c>
      <c r="M245" s="112">
        <f t="shared" si="202"/>
        <v>0</v>
      </c>
      <c r="N245" s="112">
        <f t="shared" si="175"/>
        <v>0</v>
      </c>
      <c r="O245" s="112">
        <f t="shared" si="165"/>
        <v>1167794185</v>
      </c>
      <c r="P245" s="112">
        <f t="shared" si="166"/>
        <v>311786242</v>
      </c>
      <c r="Q245" s="112">
        <f t="shared" si="167"/>
        <v>0</v>
      </c>
      <c r="R245" s="112">
        <f t="shared" si="168"/>
        <v>1479580427</v>
      </c>
      <c r="S245" s="115">
        <f t="shared" si="178"/>
        <v>63.779821707257469</v>
      </c>
      <c r="T245" s="115">
        <f>P245/D245*100</f>
        <v>84.620586127908112</v>
      </c>
      <c r="U245" s="115">
        <v>0</v>
      </c>
      <c r="V245" s="115">
        <f t="shared" si="179"/>
        <v>67.271100392169885</v>
      </c>
      <c r="W245" s="112">
        <f t="shared" si="176"/>
        <v>719849073</v>
      </c>
      <c r="X245" s="247">
        <f t="shared" si="185"/>
        <v>1167794185</v>
      </c>
      <c r="Y245" s="247">
        <f t="shared" si="183"/>
        <v>311786242</v>
      </c>
      <c r="Z245" s="247">
        <f t="shared" si="184"/>
        <v>0</v>
      </c>
      <c r="AA245" s="93"/>
    </row>
    <row r="246" spans="1:27" s="9" customFormat="1" ht="18.75" customHeight="1">
      <c r="A246" s="38" t="s">
        <v>248</v>
      </c>
      <c r="B246" s="61" t="s">
        <v>249</v>
      </c>
      <c r="C246" s="62">
        <f>C247</f>
        <v>535460500</v>
      </c>
      <c r="D246" s="62">
        <f>D247</f>
        <v>368452000</v>
      </c>
      <c r="E246" s="62">
        <f>E247</f>
        <v>0</v>
      </c>
      <c r="F246" s="62">
        <f t="shared" si="186"/>
        <v>903912500</v>
      </c>
      <c r="G246" s="62">
        <f t="shared" ref="G246:I246" si="203">G247</f>
        <v>519236855</v>
      </c>
      <c r="H246" s="62">
        <f t="shared" si="203"/>
        <v>311786242</v>
      </c>
      <c r="I246" s="62">
        <f t="shared" si="203"/>
        <v>0</v>
      </c>
      <c r="J246" s="62">
        <f t="shared" si="177"/>
        <v>831023097</v>
      </c>
      <c r="K246" s="62">
        <f t="shared" ref="K246:M246" si="204">K247</f>
        <v>0</v>
      </c>
      <c r="L246" s="62">
        <f t="shared" si="204"/>
        <v>0</v>
      </c>
      <c r="M246" s="62">
        <f t="shared" si="204"/>
        <v>0</v>
      </c>
      <c r="N246" s="62">
        <f t="shared" si="175"/>
        <v>0</v>
      </c>
      <c r="O246" s="62">
        <f t="shared" si="165"/>
        <v>519236855</v>
      </c>
      <c r="P246" s="62">
        <f t="shared" si="166"/>
        <v>311786242</v>
      </c>
      <c r="Q246" s="62">
        <f t="shared" si="167"/>
        <v>0</v>
      </c>
      <c r="R246" s="62">
        <f t="shared" si="168"/>
        <v>831023097</v>
      </c>
      <c r="S246" s="85">
        <f t="shared" si="178"/>
        <v>96.970150926165417</v>
      </c>
      <c r="T246" s="85">
        <f>P246/D246*100</f>
        <v>84.620586127908112</v>
      </c>
      <c r="U246" s="85">
        <v>0</v>
      </c>
      <c r="V246" s="85">
        <f t="shared" si="179"/>
        <v>91.936232434002179</v>
      </c>
      <c r="W246" s="62">
        <f t="shared" si="176"/>
        <v>72889403</v>
      </c>
      <c r="X246" s="247">
        <f t="shared" si="185"/>
        <v>519236855</v>
      </c>
      <c r="Y246" s="247">
        <f t="shared" si="183"/>
        <v>311786242</v>
      </c>
      <c r="Z246" s="247">
        <f t="shared" si="184"/>
        <v>0</v>
      </c>
      <c r="AA246" s="93"/>
    </row>
    <row r="247" spans="1:27" s="5" customFormat="1">
      <c r="A247" s="59" t="s">
        <v>377</v>
      </c>
      <c r="B247" s="59" t="s">
        <v>376</v>
      </c>
      <c r="C247" s="110">
        <f>SUM(C248:C253)</f>
        <v>535460500</v>
      </c>
      <c r="D247" s="110">
        <f>SUM(D248:D253)</f>
        <v>368452000</v>
      </c>
      <c r="E247" s="110">
        <f>SUM(E248:E253)</f>
        <v>0</v>
      </c>
      <c r="F247" s="110">
        <f t="shared" si="186"/>
        <v>903912500</v>
      </c>
      <c r="G247" s="110">
        <f t="shared" ref="G247:I247" si="205">SUM(G248:G253)</f>
        <v>519236855</v>
      </c>
      <c r="H247" s="110">
        <f t="shared" si="205"/>
        <v>311786242</v>
      </c>
      <c r="I247" s="110">
        <f t="shared" si="205"/>
        <v>0</v>
      </c>
      <c r="J247" s="110">
        <f t="shared" si="177"/>
        <v>831023097</v>
      </c>
      <c r="K247" s="110">
        <f t="shared" ref="K247:M247" si="206">SUM(K248:K253)</f>
        <v>0</v>
      </c>
      <c r="L247" s="110">
        <f t="shared" si="206"/>
        <v>0</v>
      </c>
      <c r="M247" s="110">
        <f t="shared" si="206"/>
        <v>0</v>
      </c>
      <c r="N247" s="110">
        <f t="shared" si="175"/>
        <v>0</v>
      </c>
      <c r="O247" s="110">
        <f t="shared" si="165"/>
        <v>519236855</v>
      </c>
      <c r="P247" s="110">
        <f t="shared" si="166"/>
        <v>311786242</v>
      </c>
      <c r="Q247" s="110">
        <f t="shared" si="167"/>
        <v>0</v>
      </c>
      <c r="R247" s="110">
        <f t="shared" si="168"/>
        <v>831023097</v>
      </c>
      <c r="S247" s="114">
        <f t="shared" si="178"/>
        <v>96.970150926165417</v>
      </c>
      <c r="T247" s="114">
        <f>P247/D247*100</f>
        <v>84.620586127908112</v>
      </c>
      <c r="U247" s="114">
        <v>0</v>
      </c>
      <c r="V247" s="114">
        <f t="shared" si="179"/>
        <v>91.936232434002179</v>
      </c>
      <c r="W247" s="110">
        <f t="shared" si="176"/>
        <v>72889403</v>
      </c>
      <c r="X247" s="247">
        <f t="shared" si="185"/>
        <v>519236855</v>
      </c>
      <c r="Y247" s="247">
        <f t="shared" si="183"/>
        <v>311786242</v>
      </c>
      <c r="Z247" s="247">
        <f t="shared" si="184"/>
        <v>0</v>
      </c>
      <c r="AA247" s="93"/>
    </row>
    <row r="248" spans="1:27">
      <c r="A248" s="44" t="s">
        <v>128</v>
      </c>
      <c r="B248" s="45" t="s">
        <v>113</v>
      </c>
      <c r="C248" s="46">
        <v>2587500</v>
      </c>
      <c r="D248" s="46">
        <v>1092000</v>
      </c>
      <c r="E248" s="46">
        <v>0</v>
      </c>
      <c r="F248" s="46">
        <f t="shared" si="186"/>
        <v>3679500</v>
      </c>
      <c r="G248" s="47">
        <v>2030400</v>
      </c>
      <c r="H248" s="47">
        <v>0</v>
      </c>
      <c r="I248" s="47">
        <v>0</v>
      </c>
      <c r="J248" s="47">
        <f t="shared" si="177"/>
        <v>2030400</v>
      </c>
      <c r="K248" s="47"/>
      <c r="L248" s="47"/>
      <c r="M248" s="47"/>
      <c r="N248" s="47">
        <f t="shared" si="175"/>
        <v>0</v>
      </c>
      <c r="O248" s="47">
        <f t="shared" ref="O248:O313" si="207">K248+G248</f>
        <v>2030400</v>
      </c>
      <c r="P248" s="47">
        <f t="shared" ref="P248:P313" si="208">L248+H248</f>
        <v>0</v>
      </c>
      <c r="Q248" s="47">
        <f t="shared" ref="Q248:Q313" si="209">M248+I248</f>
        <v>0</v>
      </c>
      <c r="R248" s="47">
        <f t="shared" ref="R248:R313" si="210">SUM(O248:Q248)</f>
        <v>2030400</v>
      </c>
      <c r="S248" s="79">
        <f t="shared" si="178"/>
        <v>78.469565217391306</v>
      </c>
      <c r="T248" s="79">
        <f>P248/D248*100</f>
        <v>0</v>
      </c>
      <c r="U248" s="79">
        <v>0</v>
      </c>
      <c r="V248" s="79">
        <f t="shared" si="179"/>
        <v>55.18141051773339</v>
      </c>
      <c r="W248" s="47">
        <f t="shared" si="176"/>
        <v>1649100</v>
      </c>
      <c r="X248" s="247">
        <f t="shared" si="185"/>
        <v>2030400</v>
      </c>
      <c r="Y248" s="247">
        <f t="shared" si="183"/>
        <v>0</v>
      </c>
      <c r="Z248" s="247">
        <f t="shared" si="184"/>
        <v>0</v>
      </c>
      <c r="AA248" s="93"/>
    </row>
    <row r="249" spans="1:27">
      <c r="A249" s="44" t="s">
        <v>231</v>
      </c>
      <c r="B249" s="45" t="s">
        <v>375</v>
      </c>
      <c r="C249" s="46">
        <v>17680000</v>
      </c>
      <c r="D249" s="46">
        <v>6760000</v>
      </c>
      <c r="E249" s="46">
        <v>0</v>
      </c>
      <c r="F249" s="46">
        <f t="shared" si="186"/>
        <v>24440000</v>
      </c>
      <c r="G249" s="47">
        <v>17680000</v>
      </c>
      <c r="H249" s="47">
        <v>6760000</v>
      </c>
      <c r="I249" s="47">
        <v>0</v>
      </c>
      <c r="J249" s="47">
        <f t="shared" si="177"/>
        <v>24440000</v>
      </c>
      <c r="K249" s="47"/>
      <c r="L249" s="47"/>
      <c r="M249" s="47"/>
      <c r="N249" s="47">
        <f t="shared" si="175"/>
        <v>0</v>
      </c>
      <c r="O249" s="47">
        <f t="shared" si="207"/>
        <v>17680000</v>
      </c>
      <c r="P249" s="47">
        <f t="shared" si="208"/>
        <v>6760000</v>
      </c>
      <c r="Q249" s="47">
        <f t="shared" si="209"/>
        <v>0</v>
      </c>
      <c r="R249" s="47">
        <f t="shared" si="210"/>
        <v>24440000</v>
      </c>
      <c r="S249" s="79">
        <f t="shared" si="178"/>
        <v>100</v>
      </c>
      <c r="T249" s="79">
        <f>P249/D249*100</f>
        <v>100</v>
      </c>
      <c r="U249" s="79">
        <v>0</v>
      </c>
      <c r="V249" s="79">
        <f t="shared" si="179"/>
        <v>100</v>
      </c>
      <c r="W249" s="47">
        <f t="shared" si="176"/>
        <v>0</v>
      </c>
      <c r="X249" s="247">
        <f t="shared" si="185"/>
        <v>17680000</v>
      </c>
      <c r="Y249" s="247">
        <f t="shared" si="183"/>
        <v>6760000</v>
      </c>
      <c r="Z249" s="247">
        <f t="shared" si="184"/>
        <v>0</v>
      </c>
      <c r="AA249" s="93"/>
    </row>
    <row r="250" spans="1:27">
      <c r="A250" s="44" t="s">
        <v>124</v>
      </c>
      <c r="B250" s="45" t="s">
        <v>125</v>
      </c>
      <c r="C250" s="46">
        <v>294893000</v>
      </c>
      <c r="D250" s="46">
        <v>0</v>
      </c>
      <c r="E250" s="46">
        <v>0</v>
      </c>
      <c r="F250" s="46">
        <f t="shared" si="186"/>
        <v>294893000</v>
      </c>
      <c r="G250" s="47">
        <v>291890000</v>
      </c>
      <c r="H250" s="47">
        <v>0</v>
      </c>
      <c r="I250" s="47">
        <v>0</v>
      </c>
      <c r="J250" s="47">
        <f t="shared" si="177"/>
        <v>291890000</v>
      </c>
      <c r="K250" s="47"/>
      <c r="L250" s="47"/>
      <c r="M250" s="47"/>
      <c r="N250" s="47">
        <f t="shared" si="175"/>
        <v>0</v>
      </c>
      <c r="O250" s="47">
        <f t="shared" si="207"/>
        <v>291890000</v>
      </c>
      <c r="P250" s="47">
        <f t="shared" si="208"/>
        <v>0</v>
      </c>
      <c r="Q250" s="47">
        <f t="shared" si="209"/>
        <v>0</v>
      </c>
      <c r="R250" s="47">
        <f t="shared" si="210"/>
        <v>291890000</v>
      </c>
      <c r="S250" s="79">
        <f t="shared" si="178"/>
        <v>98.98166453595033</v>
      </c>
      <c r="T250" s="79">
        <v>0</v>
      </c>
      <c r="U250" s="79">
        <v>0</v>
      </c>
      <c r="V250" s="79">
        <f t="shared" si="179"/>
        <v>98.98166453595033</v>
      </c>
      <c r="W250" s="47">
        <f t="shared" si="176"/>
        <v>3003000</v>
      </c>
      <c r="X250" s="247">
        <f t="shared" si="185"/>
        <v>291890000</v>
      </c>
      <c r="Y250" s="247">
        <f t="shared" si="183"/>
        <v>0</v>
      </c>
      <c r="Z250" s="247">
        <f t="shared" si="184"/>
        <v>0</v>
      </c>
      <c r="AA250" s="93"/>
    </row>
    <row r="251" spans="1:27">
      <c r="A251" s="44" t="s">
        <v>250</v>
      </c>
      <c r="B251" s="45" t="s">
        <v>251</v>
      </c>
      <c r="C251" s="46">
        <v>33600000</v>
      </c>
      <c r="D251" s="46">
        <v>0</v>
      </c>
      <c r="E251" s="46">
        <v>0</v>
      </c>
      <c r="F251" s="46">
        <f t="shared" si="186"/>
        <v>33600000</v>
      </c>
      <c r="G251" s="47">
        <v>33600000</v>
      </c>
      <c r="H251" s="47">
        <v>0</v>
      </c>
      <c r="I251" s="47">
        <v>0</v>
      </c>
      <c r="J251" s="47">
        <f t="shared" si="177"/>
        <v>33600000</v>
      </c>
      <c r="K251" s="47"/>
      <c r="L251" s="47"/>
      <c r="M251" s="47"/>
      <c r="N251" s="47">
        <f t="shared" si="175"/>
        <v>0</v>
      </c>
      <c r="O251" s="47">
        <f t="shared" si="207"/>
        <v>33600000</v>
      </c>
      <c r="P251" s="47">
        <f t="shared" si="208"/>
        <v>0</v>
      </c>
      <c r="Q251" s="47">
        <f t="shared" si="209"/>
        <v>0</v>
      </c>
      <c r="R251" s="47">
        <f t="shared" si="210"/>
        <v>33600000</v>
      </c>
      <c r="S251" s="79">
        <f t="shared" si="178"/>
        <v>100</v>
      </c>
      <c r="T251" s="79">
        <v>0</v>
      </c>
      <c r="U251" s="79">
        <v>0</v>
      </c>
      <c r="V251" s="79">
        <f t="shared" si="179"/>
        <v>100</v>
      </c>
      <c r="W251" s="47">
        <f t="shared" si="176"/>
        <v>0</v>
      </c>
      <c r="X251" s="247">
        <f t="shared" si="185"/>
        <v>33600000</v>
      </c>
      <c r="Y251" s="247">
        <f t="shared" si="183"/>
        <v>0</v>
      </c>
      <c r="Z251" s="247">
        <f t="shared" si="184"/>
        <v>0</v>
      </c>
      <c r="AA251" s="93"/>
    </row>
    <row r="252" spans="1:27">
      <c r="A252" s="44" t="s">
        <v>100</v>
      </c>
      <c r="B252" s="45" t="s">
        <v>101</v>
      </c>
      <c r="C252" s="46">
        <v>142300000</v>
      </c>
      <c r="D252" s="46">
        <v>360600000</v>
      </c>
      <c r="E252" s="46">
        <v>0</v>
      </c>
      <c r="F252" s="46">
        <f t="shared" si="186"/>
        <v>502900000</v>
      </c>
      <c r="G252" s="47">
        <v>130836455</v>
      </c>
      <c r="H252" s="47">
        <v>305026242</v>
      </c>
      <c r="I252" s="47">
        <v>0</v>
      </c>
      <c r="J252" s="47">
        <f t="shared" si="177"/>
        <v>435862697</v>
      </c>
      <c r="K252" s="47"/>
      <c r="L252" s="47"/>
      <c r="M252" s="47"/>
      <c r="N252" s="47">
        <f t="shared" si="175"/>
        <v>0</v>
      </c>
      <c r="O252" s="47">
        <f t="shared" si="207"/>
        <v>130836455</v>
      </c>
      <c r="P252" s="47">
        <f t="shared" si="208"/>
        <v>305026242</v>
      </c>
      <c r="Q252" s="47">
        <f t="shared" si="209"/>
        <v>0</v>
      </c>
      <c r="R252" s="47">
        <f t="shared" si="210"/>
        <v>435862697</v>
      </c>
      <c r="S252" s="79">
        <f t="shared" si="178"/>
        <v>91.944100491918476</v>
      </c>
      <c r="T252" s="79">
        <f>P252/D252*100</f>
        <v>84.588530782029949</v>
      </c>
      <c r="U252" s="79">
        <v>0</v>
      </c>
      <c r="V252" s="79">
        <f t="shared" si="179"/>
        <v>86.669854245376811</v>
      </c>
      <c r="W252" s="47">
        <f t="shared" si="176"/>
        <v>67037303</v>
      </c>
      <c r="X252" s="247">
        <f t="shared" si="185"/>
        <v>130836455</v>
      </c>
      <c r="Y252" s="247">
        <f t="shared" si="183"/>
        <v>305026242</v>
      </c>
      <c r="Z252" s="247">
        <f t="shared" si="184"/>
        <v>0</v>
      </c>
      <c r="AA252" s="93"/>
    </row>
    <row r="253" spans="1:27">
      <c r="A253" s="44" t="s">
        <v>252</v>
      </c>
      <c r="B253" s="45" t="s">
        <v>253</v>
      </c>
      <c r="C253" s="46">
        <v>44400000</v>
      </c>
      <c r="D253" s="46">
        <v>0</v>
      </c>
      <c r="E253" s="46">
        <v>0</v>
      </c>
      <c r="F253" s="46">
        <f t="shared" si="186"/>
        <v>44400000</v>
      </c>
      <c r="G253" s="47">
        <v>43200000</v>
      </c>
      <c r="H253" s="47">
        <v>0</v>
      </c>
      <c r="I253" s="47">
        <v>0</v>
      </c>
      <c r="J253" s="47">
        <f t="shared" si="177"/>
        <v>43200000</v>
      </c>
      <c r="K253" s="47"/>
      <c r="L253" s="47"/>
      <c r="M253" s="47"/>
      <c r="N253" s="47">
        <f t="shared" si="175"/>
        <v>0</v>
      </c>
      <c r="O253" s="47">
        <f t="shared" si="207"/>
        <v>43200000</v>
      </c>
      <c r="P253" s="47">
        <f t="shared" si="208"/>
        <v>0</v>
      </c>
      <c r="Q253" s="47">
        <f t="shared" si="209"/>
        <v>0</v>
      </c>
      <c r="R253" s="47">
        <f t="shared" si="210"/>
        <v>43200000</v>
      </c>
      <c r="S253" s="79">
        <f t="shared" si="178"/>
        <v>97.297297297297305</v>
      </c>
      <c r="T253" s="79">
        <v>0</v>
      </c>
      <c r="U253" s="79">
        <v>0</v>
      </c>
      <c r="V253" s="79">
        <f t="shared" si="179"/>
        <v>97.297297297297305</v>
      </c>
      <c r="W253" s="47">
        <f t="shared" si="176"/>
        <v>1200000</v>
      </c>
      <c r="X253" s="247">
        <f t="shared" si="185"/>
        <v>43200000</v>
      </c>
      <c r="Y253" s="247">
        <f t="shared" si="183"/>
        <v>0</v>
      </c>
      <c r="Z253" s="247">
        <f t="shared" si="184"/>
        <v>0</v>
      </c>
      <c r="AA253" s="93"/>
    </row>
    <row r="254" spans="1:27" s="9" customFormat="1" ht="18.75" customHeight="1">
      <c r="A254" s="38" t="s">
        <v>256</v>
      </c>
      <c r="B254" s="61" t="s">
        <v>257</v>
      </c>
      <c r="C254" s="62">
        <f>C255</f>
        <v>741996000</v>
      </c>
      <c r="D254" s="62">
        <f>D255</f>
        <v>0</v>
      </c>
      <c r="E254" s="62">
        <f>E255</f>
        <v>0</v>
      </c>
      <c r="F254" s="62">
        <f t="shared" si="186"/>
        <v>741996000</v>
      </c>
      <c r="G254" s="62">
        <f t="shared" ref="G254:I254" si="211">G255</f>
        <v>622547330</v>
      </c>
      <c r="H254" s="62">
        <f t="shared" si="211"/>
        <v>0</v>
      </c>
      <c r="I254" s="62">
        <f t="shared" si="211"/>
        <v>0</v>
      </c>
      <c r="J254" s="62">
        <f t="shared" si="177"/>
        <v>622547330</v>
      </c>
      <c r="K254" s="62">
        <f t="shared" ref="K254:M254" si="212">K255</f>
        <v>0</v>
      </c>
      <c r="L254" s="62">
        <f t="shared" si="212"/>
        <v>0</v>
      </c>
      <c r="M254" s="62">
        <f t="shared" si="212"/>
        <v>0</v>
      </c>
      <c r="N254" s="62">
        <f t="shared" si="175"/>
        <v>0</v>
      </c>
      <c r="O254" s="62">
        <f t="shared" si="207"/>
        <v>622547330</v>
      </c>
      <c r="P254" s="62">
        <f t="shared" si="208"/>
        <v>0</v>
      </c>
      <c r="Q254" s="62">
        <f t="shared" si="209"/>
        <v>0</v>
      </c>
      <c r="R254" s="62">
        <f t="shared" si="210"/>
        <v>622547330</v>
      </c>
      <c r="S254" s="85">
        <f t="shared" si="178"/>
        <v>83.901709712720816</v>
      </c>
      <c r="T254" s="85">
        <v>0</v>
      </c>
      <c r="U254" s="85">
        <v>0</v>
      </c>
      <c r="V254" s="85">
        <f t="shared" si="179"/>
        <v>83.901709712720816</v>
      </c>
      <c r="W254" s="62">
        <f t="shared" si="176"/>
        <v>119448670</v>
      </c>
      <c r="X254" s="247">
        <f t="shared" si="185"/>
        <v>622547330</v>
      </c>
      <c r="Y254" s="247">
        <f t="shared" si="183"/>
        <v>0</v>
      </c>
      <c r="Z254" s="247">
        <f t="shared" si="184"/>
        <v>0</v>
      </c>
      <c r="AA254" s="93"/>
    </row>
    <row r="255" spans="1:27" s="5" customFormat="1">
      <c r="A255" s="59" t="s">
        <v>258</v>
      </c>
      <c r="B255" s="59" t="s">
        <v>259</v>
      </c>
      <c r="C255" s="110">
        <f>SUM(C256:C261)</f>
        <v>741996000</v>
      </c>
      <c r="D255" s="110">
        <f>SUM(D256:D261)</f>
        <v>0</v>
      </c>
      <c r="E255" s="110">
        <f>SUM(E256:E261)</f>
        <v>0</v>
      </c>
      <c r="F255" s="110">
        <f t="shared" si="186"/>
        <v>741996000</v>
      </c>
      <c r="G255" s="110">
        <f t="shared" ref="G255:I255" si="213">SUM(G256:G261)</f>
        <v>622547330</v>
      </c>
      <c r="H255" s="110">
        <f t="shared" si="213"/>
        <v>0</v>
      </c>
      <c r="I255" s="110">
        <f t="shared" si="213"/>
        <v>0</v>
      </c>
      <c r="J255" s="110">
        <f t="shared" si="177"/>
        <v>622547330</v>
      </c>
      <c r="K255" s="110">
        <f t="shared" ref="K255:M255" si="214">SUM(K256:K261)</f>
        <v>0</v>
      </c>
      <c r="L255" s="110">
        <f t="shared" si="214"/>
        <v>0</v>
      </c>
      <c r="M255" s="110">
        <f t="shared" si="214"/>
        <v>0</v>
      </c>
      <c r="N255" s="110">
        <f t="shared" si="175"/>
        <v>0</v>
      </c>
      <c r="O255" s="110">
        <f t="shared" si="207"/>
        <v>622547330</v>
      </c>
      <c r="P255" s="110">
        <f t="shared" si="208"/>
        <v>0</v>
      </c>
      <c r="Q255" s="110">
        <f t="shared" si="209"/>
        <v>0</v>
      </c>
      <c r="R255" s="110">
        <f t="shared" si="210"/>
        <v>622547330</v>
      </c>
      <c r="S255" s="114">
        <f t="shared" si="178"/>
        <v>83.901709712720816</v>
      </c>
      <c r="T255" s="114">
        <v>0</v>
      </c>
      <c r="U255" s="114">
        <v>0</v>
      </c>
      <c r="V255" s="114">
        <f t="shared" si="179"/>
        <v>83.901709712720816</v>
      </c>
      <c r="W255" s="110">
        <f t="shared" si="176"/>
        <v>119448670</v>
      </c>
      <c r="X255" s="247">
        <f t="shared" si="185"/>
        <v>622547330</v>
      </c>
      <c r="Y255" s="247">
        <f t="shared" si="183"/>
        <v>0</v>
      </c>
      <c r="Z255" s="247">
        <f t="shared" si="184"/>
        <v>0</v>
      </c>
      <c r="AA255" s="93"/>
    </row>
    <row r="256" spans="1:27">
      <c r="A256" s="44" t="s">
        <v>128</v>
      </c>
      <c r="B256" s="45" t="s">
        <v>113</v>
      </c>
      <c r="C256" s="46">
        <v>5416000</v>
      </c>
      <c r="D256" s="46">
        <v>0</v>
      </c>
      <c r="E256" s="46">
        <v>0</v>
      </c>
      <c r="F256" s="46">
        <f t="shared" si="186"/>
        <v>5416000</v>
      </c>
      <c r="G256" s="47">
        <v>2001300</v>
      </c>
      <c r="H256" s="47">
        <v>0</v>
      </c>
      <c r="I256" s="47">
        <v>0</v>
      </c>
      <c r="J256" s="47">
        <f t="shared" si="177"/>
        <v>2001300</v>
      </c>
      <c r="K256" s="47"/>
      <c r="L256" s="47"/>
      <c r="M256" s="47"/>
      <c r="N256" s="47">
        <f t="shared" si="175"/>
        <v>0</v>
      </c>
      <c r="O256" s="47">
        <f t="shared" si="207"/>
        <v>2001300</v>
      </c>
      <c r="P256" s="47">
        <f t="shared" si="208"/>
        <v>0</v>
      </c>
      <c r="Q256" s="47">
        <f t="shared" si="209"/>
        <v>0</v>
      </c>
      <c r="R256" s="47">
        <f t="shared" si="210"/>
        <v>2001300</v>
      </c>
      <c r="S256" s="79">
        <f t="shared" si="178"/>
        <v>36.951624815361889</v>
      </c>
      <c r="T256" s="79">
        <v>0</v>
      </c>
      <c r="U256" s="79">
        <v>0</v>
      </c>
      <c r="V256" s="79">
        <f t="shared" si="179"/>
        <v>36.951624815361889</v>
      </c>
      <c r="W256" s="47">
        <f t="shared" si="176"/>
        <v>3414700</v>
      </c>
      <c r="X256" s="247">
        <f t="shared" si="185"/>
        <v>2001300</v>
      </c>
      <c r="Y256" s="247">
        <f t="shared" si="183"/>
        <v>0</v>
      </c>
      <c r="Z256" s="247">
        <f t="shared" si="184"/>
        <v>0</v>
      </c>
      <c r="AA256" s="93"/>
    </row>
    <row r="257" spans="1:27">
      <c r="A257" s="44" t="s">
        <v>118</v>
      </c>
      <c r="B257" s="45" t="s">
        <v>375</v>
      </c>
      <c r="C257" s="46">
        <v>7800000</v>
      </c>
      <c r="D257" s="46">
        <v>0</v>
      </c>
      <c r="E257" s="46">
        <v>0</v>
      </c>
      <c r="F257" s="46">
        <f t="shared" si="186"/>
        <v>7800000</v>
      </c>
      <c r="G257" s="47">
        <v>7800000</v>
      </c>
      <c r="H257" s="47">
        <v>0</v>
      </c>
      <c r="I257" s="47">
        <v>0</v>
      </c>
      <c r="J257" s="47">
        <f t="shared" si="177"/>
        <v>7800000</v>
      </c>
      <c r="K257" s="47"/>
      <c r="L257" s="47"/>
      <c r="M257" s="47"/>
      <c r="N257" s="47">
        <f t="shared" si="175"/>
        <v>0</v>
      </c>
      <c r="O257" s="47">
        <f t="shared" si="207"/>
        <v>7800000</v>
      </c>
      <c r="P257" s="47">
        <f t="shared" si="208"/>
        <v>0</v>
      </c>
      <c r="Q257" s="47">
        <f t="shared" si="209"/>
        <v>0</v>
      </c>
      <c r="R257" s="47">
        <f t="shared" si="210"/>
        <v>7800000</v>
      </c>
      <c r="S257" s="79">
        <f t="shared" si="178"/>
        <v>100</v>
      </c>
      <c r="T257" s="79">
        <v>0</v>
      </c>
      <c r="U257" s="79">
        <v>0</v>
      </c>
      <c r="V257" s="79">
        <f t="shared" si="179"/>
        <v>100</v>
      </c>
      <c r="W257" s="47">
        <f t="shared" si="176"/>
        <v>0</v>
      </c>
      <c r="X257" s="247">
        <f t="shared" si="185"/>
        <v>7800000</v>
      </c>
      <c r="Y257" s="247">
        <f t="shared" si="183"/>
        <v>0</v>
      </c>
      <c r="Z257" s="247">
        <f t="shared" si="184"/>
        <v>0</v>
      </c>
      <c r="AA257" s="93"/>
    </row>
    <row r="258" spans="1:27" s="226" customFormat="1">
      <c r="A258" s="44" t="s">
        <v>124</v>
      </c>
      <c r="B258" s="45" t="s">
        <v>125</v>
      </c>
      <c r="C258" s="46">
        <v>94640000</v>
      </c>
      <c r="D258" s="46">
        <v>0</v>
      </c>
      <c r="E258" s="46">
        <v>0</v>
      </c>
      <c r="F258" s="46">
        <f t="shared" si="186"/>
        <v>94640000</v>
      </c>
      <c r="G258" s="48">
        <v>94640000</v>
      </c>
      <c r="H258" s="47">
        <v>0</v>
      </c>
      <c r="I258" s="47">
        <v>0</v>
      </c>
      <c r="J258" s="47">
        <f t="shared" si="177"/>
        <v>94640000</v>
      </c>
      <c r="K258" s="47"/>
      <c r="L258" s="47"/>
      <c r="M258" s="47"/>
      <c r="N258" s="47">
        <f t="shared" si="175"/>
        <v>0</v>
      </c>
      <c r="O258" s="47">
        <f t="shared" si="207"/>
        <v>94640000</v>
      </c>
      <c r="P258" s="47">
        <f t="shared" si="208"/>
        <v>0</v>
      </c>
      <c r="Q258" s="47">
        <f t="shared" si="209"/>
        <v>0</v>
      </c>
      <c r="R258" s="47">
        <f t="shared" si="210"/>
        <v>94640000</v>
      </c>
      <c r="S258" s="79">
        <f t="shared" si="178"/>
        <v>100</v>
      </c>
      <c r="T258" s="79">
        <v>0</v>
      </c>
      <c r="U258" s="79">
        <v>0</v>
      </c>
      <c r="V258" s="79">
        <f t="shared" si="179"/>
        <v>100</v>
      </c>
      <c r="W258" s="47">
        <f t="shared" si="176"/>
        <v>0</v>
      </c>
      <c r="X258" s="247">
        <f t="shared" si="185"/>
        <v>94640000</v>
      </c>
      <c r="Y258" s="247">
        <f t="shared" si="183"/>
        <v>0</v>
      </c>
      <c r="Z258" s="247">
        <f t="shared" si="184"/>
        <v>0</v>
      </c>
      <c r="AA258" s="93"/>
    </row>
    <row r="259" spans="1:27">
      <c r="A259" s="44" t="s">
        <v>250</v>
      </c>
      <c r="B259" s="45" t="s">
        <v>251</v>
      </c>
      <c r="C259" s="46">
        <v>86400000</v>
      </c>
      <c r="D259" s="46">
        <v>0</v>
      </c>
      <c r="E259" s="46">
        <v>0</v>
      </c>
      <c r="F259" s="46">
        <f t="shared" si="186"/>
        <v>86400000</v>
      </c>
      <c r="G259" s="48">
        <v>86400000</v>
      </c>
      <c r="H259" s="47">
        <v>0</v>
      </c>
      <c r="I259" s="47">
        <v>0</v>
      </c>
      <c r="J259" s="47">
        <f t="shared" si="177"/>
        <v>86400000</v>
      </c>
      <c r="K259" s="47"/>
      <c r="L259" s="47"/>
      <c r="M259" s="47"/>
      <c r="N259" s="47">
        <f t="shared" si="175"/>
        <v>0</v>
      </c>
      <c r="O259" s="47">
        <f t="shared" si="207"/>
        <v>86400000</v>
      </c>
      <c r="P259" s="47">
        <f t="shared" si="208"/>
        <v>0</v>
      </c>
      <c r="Q259" s="47">
        <f t="shared" si="209"/>
        <v>0</v>
      </c>
      <c r="R259" s="47">
        <f t="shared" si="210"/>
        <v>86400000</v>
      </c>
      <c r="S259" s="79">
        <f t="shared" si="178"/>
        <v>100</v>
      </c>
      <c r="T259" s="79">
        <v>0</v>
      </c>
      <c r="U259" s="79">
        <v>0</v>
      </c>
      <c r="V259" s="79">
        <f t="shared" si="179"/>
        <v>100</v>
      </c>
      <c r="W259" s="47">
        <f t="shared" si="176"/>
        <v>0</v>
      </c>
      <c r="X259" s="247">
        <f t="shared" si="185"/>
        <v>86400000</v>
      </c>
      <c r="Y259" s="247">
        <f t="shared" si="183"/>
        <v>0</v>
      </c>
      <c r="Z259" s="247">
        <f t="shared" si="184"/>
        <v>0</v>
      </c>
      <c r="AA259" s="93"/>
    </row>
    <row r="260" spans="1:27">
      <c r="A260" s="44" t="s">
        <v>382</v>
      </c>
      <c r="B260" s="45" t="s">
        <v>361</v>
      </c>
      <c r="C260" s="46">
        <v>104000000</v>
      </c>
      <c r="D260" s="46">
        <v>0</v>
      </c>
      <c r="E260" s="46">
        <v>0</v>
      </c>
      <c r="F260" s="46">
        <f t="shared" si="186"/>
        <v>104000000</v>
      </c>
      <c r="G260" s="48">
        <v>104000000</v>
      </c>
      <c r="H260" s="47">
        <v>0</v>
      </c>
      <c r="I260" s="47">
        <v>0</v>
      </c>
      <c r="J260" s="47">
        <f t="shared" si="177"/>
        <v>104000000</v>
      </c>
      <c r="K260" s="47"/>
      <c r="L260" s="47"/>
      <c r="M260" s="47"/>
      <c r="N260" s="47">
        <f t="shared" si="175"/>
        <v>0</v>
      </c>
      <c r="O260" s="47">
        <f t="shared" si="207"/>
        <v>104000000</v>
      </c>
      <c r="P260" s="47">
        <f t="shared" si="208"/>
        <v>0</v>
      </c>
      <c r="Q260" s="47">
        <f t="shared" si="209"/>
        <v>0</v>
      </c>
      <c r="R260" s="47">
        <f t="shared" si="210"/>
        <v>104000000</v>
      </c>
      <c r="S260" s="79">
        <f t="shared" si="178"/>
        <v>100</v>
      </c>
      <c r="T260" s="79">
        <v>0</v>
      </c>
      <c r="U260" s="79">
        <v>0</v>
      </c>
      <c r="V260" s="79">
        <f t="shared" si="179"/>
        <v>100</v>
      </c>
      <c r="W260" s="47">
        <f t="shared" si="176"/>
        <v>0</v>
      </c>
      <c r="X260" s="247">
        <f t="shared" si="185"/>
        <v>104000000</v>
      </c>
      <c r="Y260" s="247">
        <f t="shared" si="183"/>
        <v>0</v>
      </c>
      <c r="Z260" s="247">
        <f t="shared" si="184"/>
        <v>0</v>
      </c>
      <c r="AA260" s="93"/>
    </row>
    <row r="261" spans="1:27">
      <c r="A261" s="44" t="s">
        <v>100</v>
      </c>
      <c r="B261" s="45" t="s">
        <v>101</v>
      </c>
      <c r="C261" s="46">
        <v>443740000</v>
      </c>
      <c r="D261" s="46">
        <v>0</v>
      </c>
      <c r="E261" s="46">
        <v>0</v>
      </c>
      <c r="F261" s="46">
        <f t="shared" si="186"/>
        <v>443740000</v>
      </c>
      <c r="G261" s="48">
        <v>327706030</v>
      </c>
      <c r="H261" s="47">
        <v>0</v>
      </c>
      <c r="I261" s="47">
        <v>0</v>
      </c>
      <c r="J261" s="47">
        <f t="shared" si="177"/>
        <v>327706030</v>
      </c>
      <c r="K261" s="47"/>
      <c r="L261" s="47"/>
      <c r="M261" s="47"/>
      <c r="N261" s="47">
        <f t="shared" si="175"/>
        <v>0</v>
      </c>
      <c r="O261" s="47">
        <f t="shared" si="207"/>
        <v>327706030</v>
      </c>
      <c r="P261" s="47">
        <f t="shared" si="208"/>
        <v>0</v>
      </c>
      <c r="Q261" s="47">
        <f t="shared" si="209"/>
        <v>0</v>
      </c>
      <c r="R261" s="47">
        <f t="shared" si="210"/>
        <v>327706030</v>
      </c>
      <c r="S261" s="79">
        <f t="shared" si="178"/>
        <v>73.850910443052243</v>
      </c>
      <c r="T261" s="79">
        <v>0</v>
      </c>
      <c r="U261" s="79">
        <v>0</v>
      </c>
      <c r="V261" s="79">
        <f t="shared" si="179"/>
        <v>73.850910443052243</v>
      </c>
      <c r="W261" s="47">
        <f t="shared" si="176"/>
        <v>116033970</v>
      </c>
      <c r="X261" s="247">
        <f t="shared" si="185"/>
        <v>327706030</v>
      </c>
      <c r="Y261" s="247">
        <f t="shared" si="183"/>
        <v>0</v>
      </c>
      <c r="Z261" s="247">
        <f t="shared" si="184"/>
        <v>0</v>
      </c>
      <c r="AA261" s="93"/>
    </row>
    <row r="262" spans="1:27" s="9" customFormat="1" ht="19.5" customHeight="1">
      <c r="A262" s="38" t="s">
        <v>260</v>
      </c>
      <c r="B262" s="61" t="s">
        <v>261</v>
      </c>
      <c r="C262" s="62">
        <f>C263</f>
        <v>553521000</v>
      </c>
      <c r="D262" s="62">
        <f>D263</f>
        <v>0</v>
      </c>
      <c r="E262" s="62">
        <f>E263</f>
        <v>0</v>
      </c>
      <c r="F262" s="62">
        <f t="shared" si="186"/>
        <v>553521000</v>
      </c>
      <c r="G262" s="62">
        <f>G263</f>
        <v>26010000</v>
      </c>
      <c r="H262" s="62">
        <f t="shared" ref="H262:I262" si="215">H263</f>
        <v>0</v>
      </c>
      <c r="I262" s="62">
        <f t="shared" si="215"/>
        <v>0</v>
      </c>
      <c r="J262" s="62">
        <f t="shared" si="177"/>
        <v>26010000</v>
      </c>
      <c r="K262" s="62">
        <f t="shared" ref="K262:M262" si="216">K263</f>
        <v>0</v>
      </c>
      <c r="L262" s="62">
        <f t="shared" si="216"/>
        <v>0</v>
      </c>
      <c r="M262" s="62">
        <f t="shared" si="216"/>
        <v>0</v>
      </c>
      <c r="N262" s="62">
        <f t="shared" si="175"/>
        <v>0</v>
      </c>
      <c r="O262" s="62">
        <f t="shared" si="207"/>
        <v>26010000</v>
      </c>
      <c r="P262" s="62">
        <f t="shared" si="208"/>
        <v>0</v>
      </c>
      <c r="Q262" s="62">
        <f t="shared" si="209"/>
        <v>0</v>
      </c>
      <c r="R262" s="62">
        <f t="shared" si="210"/>
        <v>26010000</v>
      </c>
      <c r="S262" s="85">
        <f t="shared" si="178"/>
        <v>4.6990087096966509</v>
      </c>
      <c r="T262" s="85">
        <v>0</v>
      </c>
      <c r="U262" s="85">
        <v>0</v>
      </c>
      <c r="V262" s="85">
        <f t="shared" si="179"/>
        <v>4.6990087096966509</v>
      </c>
      <c r="W262" s="62">
        <f t="shared" si="176"/>
        <v>527511000</v>
      </c>
      <c r="X262" s="247">
        <f t="shared" si="185"/>
        <v>26010000</v>
      </c>
      <c r="Y262" s="247">
        <f t="shared" si="183"/>
        <v>0</v>
      </c>
      <c r="Z262" s="247">
        <f t="shared" si="184"/>
        <v>0</v>
      </c>
      <c r="AA262" s="93"/>
    </row>
    <row r="263" spans="1:27" s="5" customFormat="1">
      <c r="A263" s="59" t="s">
        <v>428</v>
      </c>
      <c r="B263" s="59" t="s">
        <v>427</v>
      </c>
      <c r="C263" s="110">
        <f>SUM(C264:C269)</f>
        <v>553521000</v>
      </c>
      <c r="D263" s="110">
        <f>SUM(D264:D269)</f>
        <v>0</v>
      </c>
      <c r="E263" s="110">
        <f>SUM(E264:E269)</f>
        <v>0</v>
      </c>
      <c r="F263" s="110">
        <f t="shared" si="186"/>
        <v>553521000</v>
      </c>
      <c r="G263" s="110">
        <f t="shared" ref="G263:I263" si="217">SUM(G264:G269)</f>
        <v>26010000</v>
      </c>
      <c r="H263" s="110">
        <f t="shared" si="217"/>
        <v>0</v>
      </c>
      <c r="I263" s="110">
        <f t="shared" si="217"/>
        <v>0</v>
      </c>
      <c r="J263" s="110">
        <f t="shared" si="177"/>
        <v>26010000</v>
      </c>
      <c r="K263" s="110">
        <f t="shared" ref="K263:M263" si="218">SUM(K264:K269)</f>
        <v>0</v>
      </c>
      <c r="L263" s="110">
        <f t="shared" si="218"/>
        <v>0</v>
      </c>
      <c r="M263" s="110">
        <f t="shared" si="218"/>
        <v>0</v>
      </c>
      <c r="N263" s="110">
        <f t="shared" si="175"/>
        <v>0</v>
      </c>
      <c r="O263" s="110">
        <f t="shared" si="207"/>
        <v>26010000</v>
      </c>
      <c r="P263" s="110">
        <f t="shared" si="208"/>
        <v>0</v>
      </c>
      <c r="Q263" s="110">
        <f t="shared" si="209"/>
        <v>0</v>
      </c>
      <c r="R263" s="110">
        <f t="shared" si="210"/>
        <v>26010000</v>
      </c>
      <c r="S263" s="114">
        <f t="shared" si="178"/>
        <v>4.6990087096966509</v>
      </c>
      <c r="T263" s="114">
        <v>0</v>
      </c>
      <c r="U263" s="114">
        <v>0</v>
      </c>
      <c r="V263" s="114">
        <f t="shared" si="179"/>
        <v>4.6990087096966509</v>
      </c>
      <c r="W263" s="110">
        <f t="shared" si="176"/>
        <v>527511000</v>
      </c>
      <c r="X263" s="247">
        <f t="shared" si="185"/>
        <v>26010000</v>
      </c>
      <c r="Y263" s="247">
        <f t="shared" si="183"/>
        <v>0</v>
      </c>
      <c r="Z263" s="247">
        <f t="shared" si="184"/>
        <v>0</v>
      </c>
      <c r="AA263" s="93"/>
    </row>
    <row r="264" spans="1:27">
      <c r="A264" s="44" t="s">
        <v>128</v>
      </c>
      <c r="B264" s="45" t="s">
        <v>113</v>
      </c>
      <c r="C264" s="46">
        <v>2721000</v>
      </c>
      <c r="D264" s="46">
        <v>0</v>
      </c>
      <c r="E264" s="46">
        <v>0</v>
      </c>
      <c r="F264" s="46">
        <f t="shared" si="186"/>
        <v>2721000</v>
      </c>
      <c r="G264" s="47">
        <v>0</v>
      </c>
      <c r="H264" s="47">
        <v>0</v>
      </c>
      <c r="I264" s="47">
        <v>0</v>
      </c>
      <c r="J264" s="47">
        <f t="shared" si="177"/>
        <v>0</v>
      </c>
      <c r="K264" s="47"/>
      <c r="L264" s="47"/>
      <c r="M264" s="47"/>
      <c r="N264" s="47">
        <f t="shared" si="175"/>
        <v>0</v>
      </c>
      <c r="O264" s="47">
        <f t="shared" si="207"/>
        <v>0</v>
      </c>
      <c r="P264" s="47">
        <f t="shared" si="208"/>
        <v>0</v>
      </c>
      <c r="Q264" s="47">
        <f t="shared" si="209"/>
        <v>0</v>
      </c>
      <c r="R264" s="47">
        <f t="shared" si="210"/>
        <v>0</v>
      </c>
      <c r="S264" s="79">
        <f t="shared" si="178"/>
        <v>0</v>
      </c>
      <c r="T264" s="79">
        <v>0</v>
      </c>
      <c r="U264" s="79">
        <v>0</v>
      </c>
      <c r="V264" s="79">
        <f t="shared" si="179"/>
        <v>0</v>
      </c>
      <c r="W264" s="47">
        <f t="shared" si="176"/>
        <v>2721000</v>
      </c>
      <c r="X264" s="247">
        <f t="shared" si="185"/>
        <v>0</v>
      </c>
      <c r="Y264" s="247">
        <f t="shared" si="183"/>
        <v>0</v>
      </c>
      <c r="Z264" s="247">
        <f t="shared" si="184"/>
        <v>0</v>
      </c>
      <c r="AA264" s="93"/>
    </row>
    <row r="265" spans="1:27">
      <c r="A265" s="44" t="s">
        <v>124</v>
      </c>
      <c r="B265" s="45" t="s">
        <v>125</v>
      </c>
      <c r="C265" s="46">
        <v>118300000</v>
      </c>
      <c r="D265" s="46">
        <v>0</v>
      </c>
      <c r="E265" s="46">
        <v>0</v>
      </c>
      <c r="F265" s="46">
        <f t="shared" si="186"/>
        <v>118300000</v>
      </c>
      <c r="G265" s="47">
        <v>0</v>
      </c>
      <c r="H265" s="47">
        <v>0</v>
      </c>
      <c r="I265" s="47">
        <v>0</v>
      </c>
      <c r="J265" s="47">
        <f t="shared" si="177"/>
        <v>0</v>
      </c>
      <c r="K265" s="47"/>
      <c r="L265" s="47"/>
      <c r="M265" s="47"/>
      <c r="N265" s="47">
        <f t="shared" si="175"/>
        <v>0</v>
      </c>
      <c r="O265" s="47">
        <f t="shared" si="207"/>
        <v>0</v>
      </c>
      <c r="P265" s="47">
        <f t="shared" si="208"/>
        <v>0</v>
      </c>
      <c r="Q265" s="47">
        <f t="shared" si="209"/>
        <v>0</v>
      </c>
      <c r="R265" s="47">
        <f t="shared" si="210"/>
        <v>0</v>
      </c>
      <c r="S265" s="79">
        <f t="shared" si="178"/>
        <v>0</v>
      </c>
      <c r="T265" s="79">
        <v>0</v>
      </c>
      <c r="U265" s="79">
        <v>0</v>
      </c>
      <c r="V265" s="79">
        <f t="shared" si="179"/>
        <v>0</v>
      </c>
      <c r="W265" s="47">
        <f t="shared" si="176"/>
        <v>118300000</v>
      </c>
      <c r="X265" s="247">
        <f t="shared" si="185"/>
        <v>0</v>
      </c>
      <c r="Y265" s="247">
        <f t="shared" si="183"/>
        <v>0</v>
      </c>
      <c r="Z265" s="247">
        <f t="shared" si="184"/>
        <v>0</v>
      </c>
      <c r="AA265" s="93"/>
    </row>
    <row r="266" spans="1:27">
      <c r="A266" s="44" t="s">
        <v>276</v>
      </c>
      <c r="B266" s="45" t="s">
        <v>429</v>
      </c>
      <c r="C266" s="46">
        <v>16200000</v>
      </c>
      <c r="D266" s="46">
        <v>0</v>
      </c>
      <c r="E266" s="46">
        <v>0</v>
      </c>
      <c r="F266" s="46">
        <f t="shared" si="186"/>
        <v>16200000</v>
      </c>
      <c r="G266" s="47">
        <v>0</v>
      </c>
      <c r="H266" s="47">
        <v>0</v>
      </c>
      <c r="I266" s="47">
        <v>0</v>
      </c>
      <c r="J266" s="47">
        <f t="shared" si="177"/>
        <v>0</v>
      </c>
      <c r="K266" s="47"/>
      <c r="L266" s="47"/>
      <c r="M266" s="47"/>
      <c r="N266" s="47">
        <f t="shared" si="175"/>
        <v>0</v>
      </c>
      <c r="O266" s="47">
        <f t="shared" si="207"/>
        <v>0</v>
      </c>
      <c r="P266" s="47">
        <f t="shared" si="208"/>
        <v>0</v>
      </c>
      <c r="Q266" s="47">
        <f t="shared" si="209"/>
        <v>0</v>
      </c>
      <c r="R266" s="47">
        <f t="shared" si="210"/>
        <v>0</v>
      </c>
      <c r="S266" s="79">
        <f t="shared" si="178"/>
        <v>0</v>
      </c>
      <c r="T266" s="79">
        <v>0</v>
      </c>
      <c r="U266" s="79">
        <v>0</v>
      </c>
      <c r="V266" s="79">
        <f t="shared" si="179"/>
        <v>0</v>
      </c>
      <c r="W266" s="47">
        <f t="shared" si="176"/>
        <v>16200000</v>
      </c>
      <c r="X266" s="247">
        <f t="shared" si="185"/>
        <v>0</v>
      </c>
      <c r="Y266" s="247">
        <f t="shared" si="183"/>
        <v>0</v>
      </c>
      <c r="Z266" s="247">
        <f t="shared" si="184"/>
        <v>0</v>
      </c>
      <c r="AA266" s="93"/>
    </row>
    <row r="267" spans="1:27">
      <c r="A267" s="44" t="s">
        <v>250</v>
      </c>
      <c r="B267" s="45" t="s">
        <v>251</v>
      </c>
      <c r="C267" s="46">
        <v>36000000</v>
      </c>
      <c r="D267" s="46">
        <v>0</v>
      </c>
      <c r="E267" s="46">
        <v>0</v>
      </c>
      <c r="F267" s="46">
        <f t="shared" si="186"/>
        <v>36000000</v>
      </c>
      <c r="G267" s="47">
        <v>0</v>
      </c>
      <c r="H267" s="47">
        <v>0</v>
      </c>
      <c r="I267" s="47">
        <v>0</v>
      </c>
      <c r="J267" s="47">
        <f t="shared" si="177"/>
        <v>0</v>
      </c>
      <c r="K267" s="47"/>
      <c r="L267" s="47"/>
      <c r="M267" s="47"/>
      <c r="N267" s="47">
        <f t="shared" si="175"/>
        <v>0</v>
      </c>
      <c r="O267" s="47">
        <f t="shared" si="207"/>
        <v>0</v>
      </c>
      <c r="P267" s="47">
        <f t="shared" si="208"/>
        <v>0</v>
      </c>
      <c r="Q267" s="47">
        <f t="shared" si="209"/>
        <v>0</v>
      </c>
      <c r="R267" s="47">
        <f t="shared" si="210"/>
        <v>0</v>
      </c>
      <c r="S267" s="79">
        <f t="shared" si="178"/>
        <v>0</v>
      </c>
      <c r="T267" s="79">
        <v>0</v>
      </c>
      <c r="U267" s="79">
        <v>0</v>
      </c>
      <c r="V267" s="79">
        <f t="shared" si="179"/>
        <v>0</v>
      </c>
      <c r="W267" s="47">
        <f t="shared" si="176"/>
        <v>36000000</v>
      </c>
      <c r="X267" s="247">
        <f t="shared" si="185"/>
        <v>0</v>
      </c>
      <c r="Y267" s="247">
        <f t="shared" si="183"/>
        <v>0</v>
      </c>
      <c r="Z267" s="247">
        <f t="shared" si="184"/>
        <v>0</v>
      </c>
      <c r="AA267" s="93"/>
    </row>
    <row r="268" spans="1:27">
      <c r="A268" s="44" t="s">
        <v>382</v>
      </c>
      <c r="B268" s="45" t="s">
        <v>361</v>
      </c>
      <c r="C268" s="46">
        <v>130000000</v>
      </c>
      <c r="D268" s="46">
        <v>0</v>
      </c>
      <c r="E268" s="46">
        <v>0</v>
      </c>
      <c r="F268" s="46">
        <f t="shared" si="186"/>
        <v>130000000</v>
      </c>
      <c r="G268" s="47">
        <v>0</v>
      </c>
      <c r="H268" s="47">
        <v>0</v>
      </c>
      <c r="I268" s="47">
        <v>0</v>
      </c>
      <c r="J268" s="47">
        <f t="shared" si="177"/>
        <v>0</v>
      </c>
      <c r="K268" s="47"/>
      <c r="L268" s="47"/>
      <c r="M268" s="47"/>
      <c r="N268" s="47">
        <f t="shared" si="175"/>
        <v>0</v>
      </c>
      <c r="O268" s="47">
        <f t="shared" si="207"/>
        <v>0</v>
      </c>
      <c r="P268" s="47">
        <f t="shared" si="208"/>
        <v>0</v>
      </c>
      <c r="Q268" s="47">
        <f t="shared" si="209"/>
        <v>0</v>
      </c>
      <c r="R268" s="47">
        <f t="shared" si="210"/>
        <v>0</v>
      </c>
      <c r="S268" s="79">
        <f t="shared" si="178"/>
        <v>0</v>
      </c>
      <c r="T268" s="79">
        <v>0</v>
      </c>
      <c r="U268" s="79">
        <v>0</v>
      </c>
      <c r="V268" s="79">
        <f t="shared" si="179"/>
        <v>0</v>
      </c>
      <c r="W268" s="47">
        <f t="shared" si="176"/>
        <v>130000000</v>
      </c>
      <c r="X268" s="247">
        <f t="shared" si="185"/>
        <v>0</v>
      </c>
      <c r="Y268" s="247">
        <f t="shared" si="183"/>
        <v>0</v>
      </c>
      <c r="Z268" s="247">
        <f t="shared" si="184"/>
        <v>0</v>
      </c>
      <c r="AA268" s="93"/>
    </row>
    <row r="269" spans="1:27">
      <c r="A269" s="44" t="s">
        <v>100</v>
      </c>
      <c r="B269" s="45" t="s">
        <v>101</v>
      </c>
      <c r="C269" s="46">
        <v>250300000</v>
      </c>
      <c r="D269" s="46">
        <v>0</v>
      </c>
      <c r="E269" s="46">
        <v>0</v>
      </c>
      <c r="F269" s="46">
        <f t="shared" si="186"/>
        <v>250300000</v>
      </c>
      <c r="G269" s="47">
        <v>26010000</v>
      </c>
      <c r="H269" s="47">
        <v>0</v>
      </c>
      <c r="I269" s="47">
        <v>0</v>
      </c>
      <c r="J269" s="47">
        <f t="shared" si="177"/>
        <v>26010000</v>
      </c>
      <c r="K269" s="47"/>
      <c r="L269" s="47"/>
      <c r="M269" s="47"/>
      <c r="N269" s="47">
        <f t="shared" si="175"/>
        <v>0</v>
      </c>
      <c r="O269" s="47">
        <f t="shared" si="207"/>
        <v>26010000</v>
      </c>
      <c r="P269" s="47">
        <f t="shared" si="208"/>
        <v>0</v>
      </c>
      <c r="Q269" s="47">
        <f t="shared" si="209"/>
        <v>0</v>
      </c>
      <c r="R269" s="47">
        <f t="shared" si="210"/>
        <v>26010000</v>
      </c>
      <c r="S269" s="79">
        <f t="shared" si="178"/>
        <v>10.391530163803436</v>
      </c>
      <c r="T269" s="79">
        <v>0</v>
      </c>
      <c r="U269" s="79">
        <v>0</v>
      </c>
      <c r="V269" s="79">
        <f t="shared" si="179"/>
        <v>10.391530163803436</v>
      </c>
      <c r="W269" s="47">
        <f t="shared" si="176"/>
        <v>224290000</v>
      </c>
      <c r="X269" s="247">
        <f t="shared" si="185"/>
        <v>26010000</v>
      </c>
      <c r="Y269" s="247">
        <f t="shared" si="183"/>
        <v>0</v>
      </c>
      <c r="Z269" s="247">
        <f t="shared" si="184"/>
        <v>0</v>
      </c>
      <c r="AA269" s="93"/>
    </row>
    <row r="270" spans="1:27" s="10" customFormat="1" ht="18">
      <c r="A270" s="56"/>
      <c r="B270" s="57" t="s">
        <v>20</v>
      </c>
      <c r="C270" s="116">
        <f t="shared" ref="C270:M271" si="219">C271</f>
        <v>2761777077</v>
      </c>
      <c r="D270" s="116">
        <f t="shared" si="219"/>
        <v>2677899423</v>
      </c>
      <c r="E270" s="116">
        <f t="shared" si="219"/>
        <v>475845050</v>
      </c>
      <c r="F270" s="116">
        <f t="shared" si="186"/>
        <v>5915521550</v>
      </c>
      <c r="G270" s="116">
        <f t="shared" ref="G270:I271" si="220">G271</f>
        <v>1891350182</v>
      </c>
      <c r="H270" s="116">
        <f t="shared" si="220"/>
        <v>1632032022</v>
      </c>
      <c r="I270" s="116">
        <f t="shared" si="220"/>
        <v>114791350</v>
      </c>
      <c r="J270" s="116">
        <f t="shared" si="177"/>
        <v>3638173554</v>
      </c>
      <c r="K270" s="116">
        <f t="shared" si="219"/>
        <v>0</v>
      </c>
      <c r="L270" s="116">
        <f t="shared" si="219"/>
        <v>0</v>
      </c>
      <c r="M270" s="116">
        <f t="shared" si="219"/>
        <v>0</v>
      </c>
      <c r="N270" s="116">
        <f t="shared" si="175"/>
        <v>0</v>
      </c>
      <c r="O270" s="116">
        <f t="shared" si="207"/>
        <v>1891350182</v>
      </c>
      <c r="P270" s="116">
        <f t="shared" si="208"/>
        <v>1632032022</v>
      </c>
      <c r="Q270" s="116">
        <f t="shared" si="209"/>
        <v>114791350</v>
      </c>
      <c r="R270" s="116">
        <f t="shared" si="210"/>
        <v>3638173554</v>
      </c>
      <c r="S270" s="127">
        <f t="shared" si="178"/>
        <v>68.483086406615143</v>
      </c>
      <c r="T270" s="127">
        <f t="shared" ref="T270:U273" si="221">P270/D270*100</f>
        <v>60.944485367253463</v>
      </c>
      <c r="U270" s="127">
        <f t="shared" si="221"/>
        <v>24.123682698811304</v>
      </c>
      <c r="V270" s="127">
        <f t="shared" si="179"/>
        <v>61.502160430807663</v>
      </c>
      <c r="W270" s="116">
        <f t="shared" si="176"/>
        <v>2277347996</v>
      </c>
      <c r="X270" s="247">
        <f t="shared" si="185"/>
        <v>1891350182</v>
      </c>
      <c r="Y270" s="247">
        <f t="shared" si="183"/>
        <v>1632032022</v>
      </c>
      <c r="Z270" s="247">
        <f t="shared" si="184"/>
        <v>114791350</v>
      </c>
      <c r="AA270" s="93"/>
    </row>
    <row r="271" spans="1:27" s="11" customFormat="1" ht="18">
      <c r="A271" s="35" t="s">
        <v>262</v>
      </c>
      <c r="B271" s="36" t="s">
        <v>263</v>
      </c>
      <c r="C271" s="117">
        <f t="shared" si="219"/>
        <v>2761777077</v>
      </c>
      <c r="D271" s="117">
        <f t="shared" si="219"/>
        <v>2677899423</v>
      </c>
      <c r="E271" s="117">
        <f t="shared" si="219"/>
        <v>475845050</v>
      </c>
      <c r="F271" s="117">
        <f t="shared" si="186"/>
        <v>5915521550</v>
      </c>
      <c r="G271" s="117">
        <f t="shared" si="220"/>
        <v>1891350182</v>
      </c>
      <c r="H271" s="117">
        <f t="shared" si="220"/>
        <v>1632032022</v>
      </c>
      <c r="I271" s="117">
        <f t="shared" si="220"/>
        <v>114791350</v>
      </c>
      <c r="J271" s="117">
        <f t="shared" si="177"/>
        <v>3638173554</v>
      </c>
      <c r="K271" s="117">
        <f t="shared" si="219"/>
        <v>0</v>
      </c>
      <c r="L271" s="117">
        <f t="shared" si="219"/>
        <v>0</v>
      </c>
      <c r="M271" s="117">
        <f t="shared" si="219"/>
        <v>0</v>
      </c>
      <c r="N271" s="117">
        <f t="shared" si="175"/>
        <v>0</v>
      </c>
      <c r="O271" s="117">
        <f t="shared" si="207"/>
        <v>1891350182</v>
      </c>
      <c r="P271" s="117">
        <f t="shared" si="208"/>
        <v>1632032022</v>
      </c>
      <c r="Q271" s="117">
        <f t="shared" si="209"/>
        <v>114791350</v>
      </c>
      <c r="R271" s="117">
        <f t="shared" si="210"/>
        <v>3638173554</v>
      </c>
      <c r="S271" s="128">
        <f t="shared" si="178"/>
        <v>68.483086406615143</v>
      </c>
      <c r="T271" s="128">
        <f t="shared" si="221"/>
        <v>60.944485367253463</v>
      </c>
      <c r="U271" s="128">
        <f t="shared" si="221"/>
        <v>24.123682698811304</v>
      </c>
      <c r="V271" s="128">
        <f t="shared" si="179"/>
        <v>61.502160430807663</v>
      </c>
      <c r="W271" s="117">
        <f t="shared" si="176"/>
        <v>2277347996</v>
      </c>
      <c r="X271" s="247">
        <f t="shared" si="185"/>
        <v>1891350182</v>
      </c>
      <c r="Y271" s="247">
        <f t="shared" si="183"/>
        <v>1632032022</v>
      </c>
      <c r="Z271" s="247">
        <f t="shared" si="184"/>
        <v>114791350</v>
      </c>
      <c r="AA271" s="93"/>
    </row>
    <row r="272" spans="1:27" s="12" customFormat="1" ht="20.25" customHeight="1">
      <c r="A272" s="38" t="s">
        <v>264</v>
      </c>
      <c r="B272" s="107" t="s">
        <v>265</v>
      </c>
      <c r="C272" s="118">
        <f t="shared" ref="C272:M272" si="222">C273+C293</f>
        <v>2761777077</v>
      </c>
      <c r="D272" s="118">
        <f t="shared" si="222"/>
        <v>2677899423</v>
      </c>
      <c r="E272" s="118">
        <f>E273+E293</f>
        <v>475845050</v>
      </c>
      <c r="F272" s="118">
        <f t="shared" si="186"/>
        <v>5915521550</v>
      </c>
      <c r="G272" s="118">
        <f t="shared" ref="G272:I272" si="223">G273+G293</f>
        <v>1891350182</v>
      </c>
      <c r="H272" s="118">
        <f t="shared" si="223"/>
        <v>1632032022</v>
      </c>
      <c r="I272" s="118">
        <f t="shared" si="223"/>
        <v>114791350</v>
      </c>
      <c r="J272" s="118">
        <f t="shared" si="177"/>
        <v>3638173554</v>
      </c>
      <c r="K272" s="118">
        <f t="shared" si="222"/>
        <v>0</v>
      </c>
      <c r="L272" s="118">
        <f t="shared" si="222"/>
        <v>0</v>
      </c>
      <c r="M272" s="118">
        <f t="shared" si="222"/>
        <v>0</v>
      </c>
      <c r="N272" s="118">
        <f t="shared" si="175"/>
        <v>0</v>
      </c>
      <c r="O272" s="118">
        <f t="shared" si="207"/>
        <v>1891350182</v>
      </c>
      <c r="P272" s="118">
        <f t="shared" si="208"/>
        <v>1632032022</v>
      </c>
      <c r="Q272" s="118">
        <f t="shared" si="209"/>
        <v>114791350</v>
      </c>
      <c r="R272" s="118">
        <f t="shared" si="210"/>
        <v>3638173554</v>
      </c>
      <c r="S272" s="129">
        <f t="shared" si="178"/>
        <v>68.483086406615143</v>
      </c>
      <c r="T272" s="129">
        <f t="shared" si="221"/>
        <v>60.944485367253463</v>
      </c>
      <c r="U272" s="129">
        <f t="shared" si="221"/>
        <v>24.123682698811304</v>
      </c>
      <c r="V272" s="129">
        <f t="shared" si="179"/>
        <v>61.502160430807663</v>
      </c>
      <c r="W272" s="118">
        <f t="shared" si="176"/>
        <v>2277347996</v>
      </c>
      <c r="X272" s="247">
        <f t="shared" si="185"/>
        <v>1891350182</v>
      </c>
      <c r="Y272" s="247">
        <f t="shared" si="183"/>
        <v>1632032022</v>
      </c>
      <c r="Z272" s="247">
        <f t="shared" si="184"/>
        <v>114791350</v>
      </c>
      <c r="AA272" s="93"/>
    </row>
    <row r="273" spans="1:27" s="5" customFormat="1">
      <c r="A273" s="59" t="s">
        <v>266</v>
      </c>
      <c r="B273" s="59" t="s">
        <v>267</v>
      </c>
      <c r="C273" s="110">
        <f>SUM(C274:C292)</f>
        <v>1794048074</v>
      </c>
      <c r="D273" s="110">
        <f t="shared" ref="D273" si="224">SUM(D274:D292)</f>
        <v>1685598287</v>
      </c>
      <c r="E273" s="110">
        <f>SUM(E274:E292)</f>
        <v>475845050</v>
      </c>
      <c r="F273" s="110">
        <f t="shared" si="186"/>
        <v>3955491411</v>
      </c>
      <c r="G273" s="110">
        <f t="shared" ref="G273:I273" si="225">SUM(G274:G292)</f>
        <v>990009226</v>
      </c>
      <c r="H273" s="110">
        <f t="shared" si="225"/>
        <v>763447393</v>
      </c>
      <c r="I273" s="110">
        <f t="shared" si="225"/>
        <v>114791350</v>
      </c>
      <c r="J273" s="110">
        <f t="shared" si="177"/>
        <v>1868247969</v>
      </c>
      <c r="K273" s="110">
        <f>SUM(K274:K292)</f>
        <v>0</v>
      </c>
      <c r="L273" s="110">
        <f>SUM(L274:L292)</f>
        <v>0</v>
      </c>
      <c r="M273" s="110">
        <f>SUM(M274:M292)</f>
        <v>0</v>
      </c>
      <c r="N273" s="110">
        <f>SUM(K273:M273)</f>
        <v>0</v>
      </c>
      <c r="O273" s="110">
        <f>K273+G273</f>
        <v>990009226</v>
      </c>
      <c r="P273" s="110">
        <f t="shared" si="208"/>
        <v>763447393</v>
      </c>
      <c r="Q273" s="110">
        <f t="shared" si="209"/>
        <v>114791350</v>
      </c>
      <c r="R273" s="110">
        <f t="shared" si="210"/>
        <v>1868247969</v>
      </c>
      <c r="S273" s="114">
        <f t="shared" si="178"/>
        <v>55.18298201411519</v>
      </c>
      <c r="T273" s="114">
        <f t="shared" si="221"/>
        <v>45.292368821682359</v>
      </c>
      <c r="U273" s="114">
        <f t="shared" si="221"/>
        <v>24.123682698811304</v>
      </c>
      <c r="V273" s="114">
        <f t="shared" si="179"/>
        <v>47.231753905583183</v>
      </c>
      <c r="W273" s="110">
        <f t="shared" ref="W273:W338" si="226">F273-R273</f>
        <v>2087243442</v>
      </c>
      <c r="X273" s="247">
        <f t="shared" si="185"/>
        <v>990009226</v>
      </c>
      <c r="Y273" s="247">
        <f t="shared" si="183"/>
        <v>763447393</v>
      </c>
      <c r="Z273" s="247">
        <f t="shared" si="184"/>
        <v>114791350</v>
      </c>
      <c r="AA273" s="93"/>
    </row>
    <row r="274" spans="1:27">
      <c r="A274" s="44" t="s">
        <v>123</v>
      </c>
      <c r="B274" s="45" t="s">
        <v>111</v>
      </c>
      <c r="C274" s="46">
        <f>354+215</f>
        <v>569</v>
      </c>
      <c r="D274" s="46">
        <v>474778</v>
      </c>
      <c r="E274" s="46">
        <v>0</v>
      </c>
      <c r="F274" s="46">
        <f t="shared" si="186"/>
        <v>475347</v>
      </c>
      <c r="G274" s="47">
        <v>0</v>
      </c>
      <c r="H274" s="47">
        <v>474100</v>
      </c>
      <c r="I274" s="47">
        <v>0</v>
      </c>
      <c r="J274" s="47">
        <f>SUM(G274:I274)</f>
        <v>474100</v>
      </c>
      <c r="K274" s="47"/>
      <c r="L274" s="47"/>
      <c r="M274" s="47"/>
      <c r="N274" s="47">
        <f>SUM(K274:M274)</f>
        <v>0</v>
      </c>
      <c r="O274" s="47">
        <f t="shared" si="207"/>
        <v>0</v>
      </c>
      <c r="P274" s="47">
        <f t="shared" si="208"/>
        <v>474100</v>
      </c>
      <c r="Q274" s="47">
        <f t="shared" si="209"/>
        <v>0</v>
      </c>
      <c r="R274" s="47">
        <f t="shared" si="210"/>
        <v>474100</v>
      </c>
      <c r="S274" s="79">
        <f t="shared" ref="S274:S339" si="227">O274/C274*100</f>
        <v>0</v>
      </c>
      <c r="T274" s="79">
        <f t="shared" ref="T274:T337" si="228">P274/D274*100</f>
        <v>99.85719641600916</v>
      </c>
      <c r="U274" s="79">
        <v>0</v>
      </c>
      <c r="V274" s="79">
        <f t="shared" ref="V274:V339" si="229">R274/F274*100</f>
        <v>99.737665326592989</v>
      </c>
      <c r="W274" s="47">
        <f t="shared" si="226"/>
        <v>1247</v>
      </c>
      <c r="X274" s="247">
        <f t="shared" si="185"/>
        <v>0</v>
      </c>
      <c r="Y274" s="247">
        <f t="shared" si="183"/>
        <v>474100</v>
      </c>
      <c r="Z274" s="247">
        <f t="shared" si="184"/>
        <v>0</v>
      </c>
      <c r="AA274" s="93"/>
    </row>
    <row r="275" spans="1:27">
      <c r="A275" s="44" t="s">
        <v>338</v>
      </c>
      <c r="B275" s="45" t="s">
        <v>339</v>
      </c>
      <c r="C275" s="46">
        <f>4322200+768800-1208000</f>
        <v>3883000</v>
      </c>
      <c r="D275" s="46">
        <f>1208000+852000+1342800+668800+1208000</f>
        <v>5279600</v>
      </c>
      <c r="E275" s="46">
        <v>590800</v>
      </c>
      <c r="F275" s="46">
        <f t="shared" si="186"/>
        <v>9753400</v>
      </c>
      <c r="G275" s="47">
        <v>1492400</v>
      </c>
      <c r="H275" s="47">
        <v>2734000</v>
      </c>
      <c r="I275" s="47">
        <v>590800</v>
      </c>
      <c r="J275" s="47">
        <f t="shared" ref="J275:J292" si="230">SUM(G275:I275)</f>
        <v>4817200</v>
      </c>
      <c r="K275" s="47"/>
      <c r="L275" s="47"/>
      <c r="M275" s="47"/>
      <c r="N275" s="47">
        <f t="shared" ref="N275:N340" si="231">SUM(K275:M275)</f>
        <v>0</v>
      </c>
      <c r="O275" s="47">
        <f t="shared" si="207"/>
        <v>1492400</v>
      </c>
      <c r="P275" s="47">
        <f t="shared" si="208"/>
        <v>2734000</v>
      </c>
      <c r="Q275" s="47">
        <f t="shared" si="209"/>
        <v>590800</v>
      </c>
      <c r="R275" s="47">
        <f t="shared" si="210"/>
        <v>4817200</v>
      </c>
      <c r="S275" s="79">
        <f t="shared" si="227"/>
        <v>38.434200360545965</v>
      </c>
      <c r="T275" s="79">
        <f t="shared" si="228"/>
        <v>51.784226077733166</v>
      </c>
      <c r="U275" s="79">
        <f>Q275/E275*100</f>
        <v>100</v>
      </c>
      <c r="V275" s="79">
        <f t="shared" si="229"/>
        <v>49.38995632292329</v>
      </c>
      <c r="W275" s="47">
        <f t="shared" si="226"/>
        <v>4936200</v>
      </c>
      <c r="X275" s="247">
        <f t="shared" si="185"/>
        <v>1492400</v>
      </c>
      <c r="Y275" s="247">
        <f t="shared" si="183"/>
        <v>2734000</v>
      </c>
      <c r="Z275" s="247">
        <f t="shared" si="184"/>
        <v>590800</v>
      </c>
      <c r="AA275" s="93"/>
    </row>
    <row r="276" spans="1:27">
      <c r="A276" s="44" t="s">
        <v>128</v>
      </c>
      <c r="B276" s="45" t="s">
        <v>113</v>
      </c>
      <c r="C276" s="46">
        <f>37230760+35276870</f>
        <v>72507630</v>
      </c>
      <c r="D276" s="46">
        <f>7840030+4244700+6561480+2633990+20790</f>
        <v>21300990</v>
      </c>
      <c r="E276" s="46">
        <v>34580</v>
      </c>
      <c r="F276" s="46">
        <f t="shared" si="186"/>
        <v>93843200</v>
      </c>
      <c r="G276" s="48">
        <v>416000</v>
      </c>
      <c r="H276" s="47">
        <v>2202600</v>
      </c>
      <c r="I276" s="47">
        <v>0</v>
      </c>
      <c r="J276" s="47">
        <f t="shared" si="230"/>
        <v>2618600</v>
      </c>
      <c r="K276" s="47"/>
      <c r="L276" s="47"/>
      <c r="M276" s="47"/>
      <c r="N276" s="47">
        <f t="shared" si="231"/>
        <v>0</v>
      </c>
      <c r="O276" s="47">
        <f t="shared" si="207"/>
        <v>416000</v>
      </c>
      <c r="P276" s="47">
        <f t="shared" si="208"/>
        <v>2202600</v>
      </c>
      <c r="Q276" s="47">
        <f t="shared" si="209"/>
        <v>0</v>
      </c>
      <c r="R276" s="47">
        <f t="shared" si="210"/>
        <v>2618600</v>
      </c>
      <c r="S276" s="79">
        <f t="shared" si="227"/>
        <v>0.57373272302514922</v>
      </c>
      <c r="T276" s="79">
        <f t="shared" si="228"/>
        <v>10.34036446193346</v>
      </c>
      <c r="U276" s="79">
        <f>Q276/E276*100</f>
        <v>0</v>
      </c>
      <c r="V276" s="79">
        <f t="shared" si="229"/>
        <v>2.7903993043715474</v>
      </c>
      <c r="W276" s="47">
        <f t="shared" si="226"/>
        <v>91224600</v>
      </c>
      <c r="X276" s="247">
        <f t="shared" si="185"/>
        <v>416000</v>
      </c>
      <c r="Y276" s="247">
        <f t="shared" si="183"/>
        <v>2202600</v>
      </c>
      <c r="Z276" s="247">
        <f t="shared" si="184"/>
        <v>0</v>
      </c>
      <c r="AA276" s="93"/>
    </row>
    <row r="277" spans="1:27">
      <c r="A277" s="44" t="s">
        <v>173</v>
      </c>
      <c r="B277" s="45" t="s">
        <v>174</v>
      </c>
      <c r="C277" s="46">
        <f>500000-80000</f>
        <v>420000</v>
      </c>
      <c r="D277" s="46">
        <v>0</v>
      </c>
      <c r="E277" s="46">
        <v>4500000</v>
      </c>
      <c r="F277" s="46">
        <f t="shared" si="186"/>
        <v>4920000</v>
      </c>
      <c r="G277" s="48">
        <v>400000</v>
      </c>
      <c r="H277" s="47">
        <v>0</v>
      </c>
      <c r="I277" s="47">
        <v>4500000</v>
      </c>
      <c r="J277" s="47">
        <f t="shared" si="230"/>
        <v>4900000</v>
      </c>
      <c r="K277" s="47"/>
      <c r="L277" s="47"/>
      <c r="M277" s="47"/>
      <c r="N277" s="47">
        <f t="shared" si="231"/>
        <v>0</v>
      </c>
      <c r="O277" s="47">
        <f t="shared" si="207"/>
        <v>400000</v>
      </c>
      <c r="P277" s="47">
        <f t="shared" si="208"/>
        <v>0</v>
      </c>
      <c r="Q277" s="47">
        <f t="shared" si="209"/>
        <v>4500000</v>
      </c>
      <c r="R277" s="47">
        <f t="shared" si="210"/>
        <v>4900000</v>
      </c>
      <c r="S277" s="79">
        <f t="shared" si="227"/>
        <v>95.238095238095227</v>
      </c>
      <c r="T277" s="79">
        <v>0</v>
      </c>
      <c r="U277" s="79">
        <f>Q277/E277*100</f>
        <v>100</v>
      </c>
      <c r="V277" s="79">
        <f t="shared" si="229"/>
        <v>99.59349593495935</v>
      </c>
      <c r="W277" s="47">
        <f t="shared" si="226"/>
        <v>20000</v>
      </c>
      <c r="X277" s="247">
        <f t="shared" si="185"/>
        <v>400000</v>
      </c>
      <c r="Y277" s="247">
        <f t="shared" si="183"/>
        <v>0</v>
      </c>
      <c r="Z277" s="247">
        <f t="shared" si="184"/>
        <v>4500000</v>
      </c>
      <c r="AA277" s="93"/>
    </row>
    <row r="278" spans="1:27">
      <c r="A278" s="44" t="s">
        <v>227</v>
      </c>
      <c r="B278" s="45" t="s">
        <v>115</v>
      </c>
      <c r="C278" s="46">
        <f xml:space="preserve"> 663875+663875+1042800+819325</f>
        <v>3189875</v>
      </c>
      <c r="D278" s="46">
        <f>663875+695200+531100+1482000</f>
        <v>3372175</v>
      </c>
      <c r="E278" s="46">
        <f>265550</f>
        <v>265550</v>
      </c>
      <c r="F278" s="46">
        <f t="shared" si="186"/>
        <v>6827600</v>
      </c>
      <c r="G278" s="48">
        <v>1706675</v>
      </c>
      <c r="H278" s="47">
        <v>3372175</v>
      </c>
      <c r="I278" s="47">
        <v>265550</v>
      </c>
      <c r="J278" s="47">
        <f t="shared" si="230"/>
        <v>5344400</v>
      </c>
      <c r="K278" s="47"/>
      <c r="L278" s="47"/>
      <c r="M278" s="47"/>
      <c r="N278" s="47">
        <f t="shared" si="231"/>
        <v>0</v>
      </c>
      <c r="O278" s="47">
        <f t="shared" si="207"/>
        <v>1706675</v>
      </c>
      <c r="P278" s="47">
        <f t="shared" si="208"/>
        <v>3372175</v>
      </c>
      <c r="Q278" s="47">
        <f t="shared" si="209"/>
        <v>265550</v>
      </c>
      <c r="R278" s="47">
        <f t="shared" si="210"/>
        <v>5344400</v>
      </c>
      <c r="S278" s="79">
        <f t="shared" si="227"/>
        <v>53.502880206904656</v>
      </c>
      <c r="T278" s="79">
        <f t="shared" si="228"/>
        <v>100</v>
      </c>
      <c r="U278" s="79">
        <f>Q278/E278*100</f>
        <v>100</v>
      </c>
      <c r="V278" s="79">
        <f t="shared" si="229"/>
        <v>78.276407522409045</v>
      </c>
      <c r="W278" s="47">
        <f t="shared" si="226"/>
        <v>1483200</v>
      </c>
      <c r="X278" s="247">
        <f t="shared" si="185"/>
        <v>1706675</v>
      </c>
      <c r="Y278" s="247">
        <f t="shared" ref="Y278:Y343" si="232">H278+L278</f>
        <v>3372175</v>
      </c>
      <c r="Z278" s="247">
        <f t="shared" ref="Z278:Z343" si="233">I278+M278</f>
        <v>265550</v>
      </c>
      <c r="AA278" s="93"/>
    </row>
    <row r="279" spans="1:27">
      <c r="A279" s="44" t="s">
        <v>231</v>
      </c>
      <c r="B279" s="45" t="s">
        <v>119</v>
      </c>
      <c r="C279" s="46">
        <f>23400000-7800000</f>
        <v>15600000</v>
      </c>
      <c r="D279" s="46">
        <f>7800000+22360000</f>
        <v>30160000</v>
      </c>
      <c r="E279" s="46">
        <v>0</v>
      </c>
      <c r="F279" s="46">
        <f t="shared" si="186"/>
        <v>45760000</v>
      </c>
      <c r="G279" s="48">
        <v>15600000</v>
      </c>
      <c r="H279" s="47">
        <v>14560000</v>
      </c>
      <c r="I279" s="47">
        <v>0</v>
      </c>
      <c r="J279" s="47">
        <f t="shared" si="230"/>
        <v>30160000</v>
      </c>
      <c r="K279" s="47"/>
      <c r="L279" s="47"/>
      <c r="M279" s="47"/>
      <c r="N279" s="47">
        <f>SUM(K279:M279)</f>
        <v>0</v>
      </c>
      <c r="O279" s="47">
        <f>K279+G279</f>
        <v>15600000</v>
      </c>
      <c r="P279" s="47">
        <f>L279+H279</f>
        <v>14560000</v>
      </c>
      <c r="Q279" s="47">
        <f>M279+I279</f>
        <v>0</v>
      </c>
      <c r="R279" s="47">
        <f>SUM(O279:Q279)</f>
        <v>30160000</v>
      </c>
      <c r="S279" s="79">
        <f>O279/C279*100</f>
        <v>100</v>
      </c>
      <c r="T279" s="79">
        <f>P279/D279*100</f>
        <v>48.275862068965516</v>
      </c>
      <c r="U279" s="79">
        <v>0</v>
      </c>
      <c r="V279" s="79">
        <f t="shared" si="229"/>
        <v>65.909090909090907</v>
      </c>
      <c r="W279" s="47">
        <f>F279-R279</f>
        <v>15600000</v>
      </c>
      <c r="X279" s="247">
        <f t="shared" ref="X279:X344" si="234">G279+K279</f>
        <v>15600000</v>
      </c>
      <c r="Y279" s="247">
        <f t="shared" si="232"/>
        <v>14560000</v>
      </c>
      <c r="Z279" s="247">
        <f t="shared" si="233"/>
        <v>0</v>
      </c>
      <c r="AA279" s="93"/>
    </row>
    <row r="280" spans="1:27">
      <c r="A280" s="44" t="s">
        <v>238</v>
      </c>
      <c r="B280" s="45" t="s">
        <v>239</v>
      </c>
      <c r="C280" s="46">
        <v>0</v>
      </c>
      <c r="D280" s="46">
        <v>0</v>
      </c>
      <c r="E280" s="46">
        <v>102494120</v>
      </c>
      <c r="F280" s="46">
        <f t="shared" si="186"/>
        <v>102494120</v>
      </c>
      <c r="G280" s="48">
        <v>0</v>
      </c>
      <c r="H280" s="47">
        <v>0</v>
      </c>
      <c r="I280" s="48">
        <v>101935000</v>
      </c>
      <c r="J280" s="47">
        <f t="shared" si="230"/>
        <v>101935000</v>
      </c>
      <c r="K280" s="47"/>
      <c r="L280" s="47"/>
      <c r="M280" s="47"/>
      <c r="N280" s="47">
        <f t="shared" si="231"/>
        <v>0</v>
      </c>
      <c r="O280" s="47">
        <f t="shared" si="207"/>
        <v>0</v>
      </c>
      <c r="P280" s="47">
        <f t="shared" si="208"/>
        <v>0</v>
      </c>
      <c r="Q280" s="47">
        <f t="shared" si="209"/>
        <v>101935000</v>
      </c>
      <c r="R280" s="47">
        <f t="shared" si="210"/>
        <v>101935000</v>
      </c>
      <c r="S280" s="79">
        <v>0</v>
      </c>
      <c r="T280" s="79">
        <v>0</v>
      </c>
      <c r="U280" s="79">
        <f>Q280/E280*100</f>
        <v>99.454485779281782</v>
      </c>
      <c r="V280" s="79">
        <f t="shared" si="229"/>
        <v>99.454485779281782</v>
      </c>
      <c r="W280" s="47">
        <f t="shared" si="226"/>
        <v>559120</v>
      </c>
      <c r="X280" s="247">
        <f t="shared" si="234"/>
        <v>0</v>
      </c>
      <c r="Y280" s="247">
        <f t="shared" si="232"/>
        <v>0</v>
      </c>
      <c r="Z280" s="247">
        <f t="shared" si="233"/>
        <v>101935000</v>
      </c>
      <c r="AA280" s="93"/>
    </row>
    <row r="281" spans="1:27">
      <c r="A281" s="44" t="s">
        <v>124</v>
      </c>
      <c r="B281" s="45" t="s">
        <v>125</v>
      </c>
      <c r="C281" s="46">
        <f>18422000+189370000+39855000+9060000-46660000</f>
        <v>210047000</v>
      </c>
      <c r="D281" s="46">
        <f>166500000+12080000</f>
        <v>178580000</v>
      </c>
      <c r="E281" s="46">
        <f>189560000</f>
        <v>189560000</v>
      </c>
      <c r="F281" s="46">
        <f t="shared" ref="F281:F346" si="235">C281+D281+E281</f>
        <v>578187000</v>
      </c>
      <c r="G281" s="48">
        <v>222647000</v>
      </c>
      <c r="H281" s="47">
        <v>121500000</v>
      </c>
      <c r="I281" s="47">
        <v>0</v>
      </c>
      <c r="J281" s="47">
        <f t="shared" si="230"/>
        <v>344147000</v>
      </c>
      <c r="K281" s="47"/>
      <c r="L281" s="80"/>
      <c r="M281" s="80"/>
      <c r="N281" s="47">
        <f>SUM(K281:M281)</f>
        <v>0</v>
      </c>
      <c r="O281" s="47">
        <f t="shared" si="207"/>
        <v>222647000</v>
      </c>
      <c r="P281" s="47">
        <f t="shared" si="208"/>
        <v>121500000</v>
      </c>
      <c r="Q281" s="47">
        <f t="shared" si="209"/>
        <v>0</v>
      </c>
      <c r="R281" s="47">
        <f t="shared" si="210"/>
        <v>344147000</v>
      </c>
      <c r="S281" s="79">
        <f t="shared" si="227"/>
        <v>105.99865744333412</v>
      </c>
      <c r="T281" s="79">
        <f t="shared" si="228"/>
        <v>68.036734236756629</v>
      </c>
      <c r="U281" s="79">
        <f>Q281/E281*100</f>
        <v>0</v>
      </c>
      <c r="V281" s="79">
        <f t="shared" si="229"/>
        <v>59.521746424599655</v>
      </c>
      <c r="W281" s="47">
        <f t="shared" si="226"/>
        <v>234040000</v>
      </c>
      <c r="X281" s="247">
        <f t="shared" si="234"/>
        <v>222647000</v>
      </c>
      <c r="Y281" s="247">
        <f t="shared" si="232"/>
        <v>121500000</v>
      </c>
      <c r="Z281" s="247">
        <f t="shared" si="233"/>
        <v>0</v>
      </c>
      <c r="AA281" s="93"/>
    </row>
    <row r="282" spans="1:27">
      <c r="A282" s="44" t="s">
        <v>137</v>
      </c>
      <c r="B282" s="45" t="s">
        <v>138</v>
      </c>
      <c r="C282" s="46">
        <f>3600000+158700000+110200000+5200000-30500000</f>
        <v>247200000</v>
      </c>
      <c r="D282" s="46">
        <f>8100000+29800000+3600000</f>
        <v>41500000</v>
      </c>
      <c r="E282" s="46">
        <f>54000000</f>
        <v>54000000</v>
      </c>
      <c r="F282" s="46">
        <f t="shared" si="235"/>
        <v>342700000</v>
      </c>
      <c r="G282" s="48">
        <v>88850000</v>
      </c>
      <c r="H282" s="47">
        <v>0</v>
      </c>
      <c r="I282" s="47">
        <v>0</v>
      </c>
      <c r="J282" s="47">
        <f t="shared" si="230"/>
        <v>88850000</v>
      </c>
      <c r="K282" s="47"/>
      <c r="L282" s="47"/>
      <c r="M282" s="47"/>
      <c r="N282" s="47">
        <f t="shared" si="231"/>
        <v>0</v>
      </c>
      <c r="O282" s="47">
        <f>K282+G282</f>
        <v>88850000</v>
      </c>
      <c r="P282" s="47">
        <f>L282+H282</f>
        <v>0</v>
      </c>
      <c r="Q282" s="47">
        <f>M282+I282</f>
        <v>0</v>
      </c>
      <c r="R282" s="47">
        <f>SUM(O282:Q282)</f>
        <v>88850000</v>
      </c>
      <c r="S282" s="79">
        <f t="shared" si="227"/>
        <v>35.942556634304204</v>
      </c>
      <c r="T282" s="79">
        <f t="shared" si="228"/>
        <v>0</v>
      </c>
      <c r="U282" s="79">
        <f>Q282/E282*100</f>
        <v>0</v>
      </c>
      <c r="V282" s="79">
        <f t="shared" si="229"/>
        <v>25.926466297052812</v>
      </c>
      <c r="W282" s="47">
        <f t="shared" si="226"/>
        <v>253850000</v>
      </c>
      <c r="X282" s="247">
        <f t="shared" si="234"/>
        <v>88850000</v>
      </c>
      <c r="Y282" s="247">
        <f t="shared" si="232"/>
        <v>0</v>
      </c>
      <c r="Z282" s="247">
        <f t="shared" si="233"/>
        <v>0</v>
      </c>
      <c r="AA282" s="93"/>
    </row>
    <row r="283" spans="1:27">
      <c r="A283" s="44" t="s">
        <v>139</v>
      </c>
      <c r="B283" s="45" t="s">
        <v>140</v>
      </c>
      <c r="C283" s="46">
        <f>122500000+86000000-15000000</f>
        <v>193500000</v>
      </c>
      <c r="D283" s="46">
        <v>11000000</v>
      </c>
      <c r="E283" s="46">
        <v>0</v>
      </c>
      <c r="F283" s="46">
        <f t="shared" si="235"/>
        <v>204500000</v>
      </c>
      <c r="G283" s="48">
        <v>37000000</v>
      </c>
      <c r="H283" s="47">
        <v>0</v>
      </c>
      <c r="I283" s="47">
        <v>0</v>
      </c>
      <c r="J283" s="47">
        <f t="shared" si="230"/>
        <v>37000000</v>
      </c>
      <c r="K283" s="47"/>
      <c r="L283" s="47"/>
      <c r="M283" s="47"/>
      <c r="N283" s="47">
        <f>SUM(K283:M283)</f>
        <v>0</v>
      </c>
      <c r="O283" s="47">
        <f>K283+G283</f>
        <v>37000000</v>
      </c>
      <c r="P283" s="47">
        <f t="shared" si="208"/>
        <v>0</v>
      </c>
      <c r="Q283" s="47">
        <f t="shared" si="209"/>
        <v>0</v>
      </c>
      <c r="R283" s="47">
        <f>SUM(O283:Q283)</f>
        <v>37000000</v>
      </c>
      <c r="S283" s="79">
        <f>O283/C283*100</f>
        <v>19.12144702842377</v>
      </c>
      <c r="T283" s="79">
        <f>P283/D283*100</f>
        <v>0</v>
      </c>
      <c r="U283" s="79">
        <v>0</v>
      </c>
      <c r="V283" s="79">
        <f>R283/F283*100</f>
        <v>18.092909535452321</v>
      </c>
      <c r="W283" s="47">
        <f>F283-R283</f>
        <v>167500000</v>
      </c>
      <c r="X283" s="247">
        <f t="shared" si="234"/>
        <v>37000000</v>
      </c>
      <c r="Y283" s="247">
        <f t="shared" si="232"/>
        <v>0</v>
      </c>
      <c r="Z283" s="247">
        <f t="shared" si="233"/>
        <v>0</v>
      </c>
      <c r="AA283" s="93"/>
    </row>
    <row r="284" spans="1:27" s="14" customFormat="1">
      <c r="A284" s="119" t="s">
        <v>187</v>
      </c>
      <c r="B284" s="120" t="s">
        <v>188</v>
      </c>
      <c r="C284" s="95">
        <f>689000000-35000000</f>
        <v>654000000</v>
      </c>
      <c r="D284" s="95">
        <v>16950000</v>
      </c>
      <c r="E284" s="95">
        <v>0</v>
      </c>
      <c r="F284" s="95">
        <f t="shared" si="235"/>
        <v>670950000</v>
      </c>
      <c r="G284" s="121">
        <v>279000000</v>
      </c>
      <c r="H284" s="63">
        <v>0</v>
      </c>
      <c r="I284" s="63">
        <v>0</v>
      </c>
      <c r="J284" s="47">
        <f t="shared" si="230"/>
        <v>279000000</v>
      </c>
      <c r="K284" s="47"/>
      <c r="L284" s="47"/>
      <c r="M284" s="47"/>
      <c r="N284" s="47">
        <f t="shared" si="231"/>
        <v>0</v>
      </c>
      <c r="O284" s="47">
        <f t="shared" si="207"/>
        <v>279000000</v>
      </c>
      <c r="P284" s="63">
        <f t="shared" si="208"/>
        <v>0</v>
      </c>
      <c r="Q284" s="63">
        <f t="shared" si="209"/>
        <v>0</v>
      </c>
      <c r="R284" s="47">
        <f t="shared" si="210"/>
        <v>279000000</v>
      </c>
      <c r="S284" s="130">
        <f t="shared" si="227"/>
        <v>42.660550458715598</v>
      </c>
      <c r="T284" s="130">
        <f t="shared" si="228"/>
        <v>0</v>
      </c>
      <c r="U284" s="79">
        <v>0</v>
      </c>
      <c r="V284" s="130">
        <f t="shared" si="229"/>
        <v>41.582830315224683</v>
      </c>
      <c r="W284" s="63">
        <f t="shared" si="226"/>
        <v>391950000</v>
      </c>
      <c r="X284" s="247">
        <f t="shared" si="234"/>
        <v>279000000</v>
      </c>
      <c r="Y284" s="247">
        <f t="shared" si="232"/>
        <v>0</v>
      </c>
      <c r="Z284" s="247">
        <f t="shared" si="233"/>
        <v>0</v>
      </c>
      <c r="AA284" s="93"/>
    </row>
    <row r="285" spans="1:27" s="14" customFormat="1">
      <c r="A285" s="119" t="s">
        <v>359</v>
      </c>
      <c r="B285" s="120" t="s">
        <v>360</v>
      </c>
      <c r="C285" s="95">
        <v>0</v>
      </c>
      <c r="D285" s="95">
        <v>4829000</v>
      </c>
      <c r="E285" s="95">
        <v>0</v>
      </c>
      <c r="F285" s="95">
        <f t="shared" si="235"/>
        <v>4829000</v>
      </c>
      <c r="G285" s="121">
        <v>0</v>
      </c>
      <c r="H285" s="63">
        <v>4829000</v>
      </c>
      <c r="I285" s="63">
        <v>0</v>
      </c>
      <c r="J285" s="47">
        <f t="shared" si="230"/>
        <v>4829000</v>
      </c>
      <c r="K285" s="47"/>
      <c r="L285" s="47"/>
      <c r="M285" s="47"/>
      <c r="N285" s="47">
        <f>SUM(K285:M285)</f>
        <v>0</v>
      </c>
      <c r="O285" s="47">
        <f>K285+G285</f>
        <v>0</v>
      </c>
      <c r="P285" s="63">
        <f>L285+H285</f>
        <v>4829000</v>
      </c>
      <c r="Q285" s="63">
        <f>M285+I285</f>
        <v>0</v>
      </c>
      <c r="R285" s="47">
        <f>SUM(O285:Q285)</f>
        <v>4829000</v>
      </c>
      <c r="S285" s="79">
        <v>0</v>
      </c>
      <c r="T285" s="130">
        <f>P285/D285*100</f>
        <v>100</v>
      </c>
      <c r="U285" s="79">
        <v>0</v>
      </c>
      <c r="V285" s="130">
        <f>R285/F285*100</f>
        <v>100</v>
      </c>
      <c r="W285" s="63">
        <f>F285-R285</f>
        <v>0</v>
      </c>
      <c r="X285" s="247">
        <f t="shared" si="234"/>
        <v>0</v>
      </c>
      <c r="Y285" s="247">
        <f t="shared" si="232"/>
        <v>4829000</v>
      </c>
      <c r="Z285" s="247">
        <f t="shared" si="233"/>
        <v>0</v>
      </c>
      <c r="AA285" s="93"/>
    </row>
    <row r="286" spans="1:27" s="14" customFormat="1">
      <c r="A286" s="119" t="s">
        <v>306</v>
      </c>
      <c r="B286" s="120" t="s">
        <v>307</v>
      </c>
      <c r="C286" s="95">
        <v>0</v>
      </c>
      <c r="D286" s="95">
        <f>244000000+48000000</f>
        <v>292000000</v>
      </c>
      <c r="E286" s="95">
        <v>0</v>
      </c>
      <c r="F286" s="95">
        <f t="shared" si="235"/>
        <v>292000000</v>
      </c>
      <c r="G286" s="121">
        <v>0</v>
      </c>
      <c r="H286" s="63">
        <v>177050000</v>
      </c>
      <c r="I286" s="63">
        <v>0</v>
      </c>
      <c r="J286" s="47">
        <f t="shared" si="230"/>
        <v>177050000</v>
      </c>
      <c r="K286" s="47"/>
      <c r="L286" s="47"/>
      <c r="M286" s="47"/>
      <c r="N286" s="47">
        <f t="shared" si="231"/>
        <v>0</v>
      </c>
      <c r="O286" s="47">
        <f t="shared" si="207"/>
        <v>0</v>
      </c>
      <c r="P286" s="63">
        <f t="shared" si="208"/>
        <v>177050000</v>
      </c>
      <c r="Q286" s="63">
        <f t="shared" si="209"/>
        <v>0</v>
      </c>
      <c r="R286" s="47">
        <f t="shared" si="210"/>
        <v>177050000</v>
      </c>
      <c r="S286" s="79">
        <v>0</v>
      </c>
      <c r="T286" s="130">
        <f t="shared" si="228"/>
        <v>60.63356164383562</v>
      </c>
      <c r="U286" s="79">
        <v>0</v>
      </c>
      <c r="V286" s="130">
        <f t="shared" si="229"/>
        <v>60.63356164383562</v>
      </c>
      <c r="W286" s="63">
        <f t="shared" si="226"/>
        <v>114950000</v>
      </c>
      <c r="X286" s="247">
        <f t="shared" si="234"/>
        <v>0</v>
      </c>
      <c r="Y286" s="247">
        <f t="shared" si="232"/>
        <v>177050000</v>
      </c>
      <c r="Z286" s="247">
        <f t="shared" si="233"/>
        <v>0</v>
      </c>
      <c r="AA286" s="93"/>
    </row>
    <row r="287" spans="1:27" s="14" customFormat="1">
      <c r="A287" s="119" t="s">
        <v>362</v>
      </c>
      <c r="B287" s="120" t="s">
        <v>361</v>
      </c>
      <c r="C287" s="95">
        <v>2500000</v>
      </c>
      <c r="D287" s="95">
        <v>0</v>
      </c>
      <c r="E287" s="95">
        <v>50000000</v>
      </c>
      <c r="F287" s="95">
        <f t="shared" si="235"/>
        <v>52500000</v>
      </c>
      <c r="G287" s="121">
        <v>14000000</v>
      </c>
      <c r="H287" s="63">
        <v>0</v>
      </c>
      <c r="I287" s="63">
        <v>7500000</v>
      </c>
      <c r="J287" s="47">
        <f t="shared" si="230"/>
        <v>21500000</v>
      </c>
      <c r="K287" s="47"/>
      <c r="L287" s="47"/>
      <c r="M287" s="47"/>
      <c r="N287" s="47">
        <f t="shared" si="231"/>
        <v>0</v>
      </c>
      <c r="O287" s="47">
        <f t="shared" si="207"/>
        <v>14000000</v>
      </c>
      <c r="P287" s="63">
        <f t="shared" si="208"/>
        <v>0</v>
      </c>
      <c r="Q287" s="63">
        <f t="shared" si="209"/>
        <v>7500000</v>
      </c>
      <c r="R287" s="47">
        <f t="shared" si="210"/>
        <v>21500000</v>
      </c>
      <c r="S287" s="130">
        <f t="shared" si="227"/>
        <v>560</v>
      </c>
      <c r="T287" s="79">
        <v>0</v>
      </c>
      <c r="U287" s="130">
        <f>Q287/E287*100</f>
        <v>15</v>
      </c>
      <c r="V287" s="130">
        <f t="shared" si="229"/>
        <v>40.952380952380949</v>
      </c>
      <c r="W287" s="63">
        <f t="shared" si="226"/>
        <v>31000000</v>
      </c>
      <c r="X287" s="247">
        <f t="shared" si="234"/>
        <v>14000000</v>
      </c>
      <c r="Y287" s="247">
        <f t="shared" si="232"/>
        <v>0</v>
      </c>
      <c r="Z287" s="247">
        <f t="shared" si="233"/>
        <v>7500000</v>
      </c>
      <c r="AA287" s="93"/>
    </row>
    <row r="288" spans="1:27">
      <c r="A288" s="44" t="s">
        <v>100</v>
      </c>
      <c r="B288" s="45" t="s">
        <v>101</v>
      </c>
      <c r="C288" s="46">
        <f>56400000+64800000+81000000+29400000+21000000+84000000</f>
        <v>336600000</v>
      </c>
      <c r="D288" s="46">
        <f>211800000+273600000+99000000-21600000</f>
        <v>562800000</v>
      </c>
      <c r="E288" s="46">
        <f>47400000</f>
        <v>47400000</v>
      </c>
      <c r="F288" s="46">
        <f t="shared" si="235"/>
        <v>946800000</v>
      </c>
      <c r="G288" s="47">
        <v>306397151</v>
      </c>
      <c r="H288" s="47">
        <v>340919518</v>
      </c>
      <c r="I288" s="47">
        <v>0</v>
      </c>
      <c r="J288" s="47">
        <f t="shared" si="230"/>
        <v>647316669</v>
      </c>
      <c r="K288" s="80"/>
      <c r="L288" s="80"/>
      <c r="M288" s="80"/>
      <c r="N288" s="47">
        <f t="shared" si="231"/>
        <v>0</v>
      </c>
      <c r="O288" s="47">
        <f t="shared" si="207"/>
        <v>306397151</v>
      </c>
      <c r="P288" s="47">
        <f t="shared" si="208"/>
        <v>340919518</v>
      </c>
      <c r="Q288" s="47">
        <f t="shared" si="209"/>
        <v>0</v>
      </c>
      <c r="R288" s="47">
        <f t="shared" si="210"/>
        <v>647316669</v>
      </c>
      <c r="S288" s="79">
        <f t="shared" si="227"/>
        <v>91.027079916815211</v>
      </c>
      <c r="T288" s="79">
        <f t="shared" si="228"/>
        <v>60.575607320540158</v>
      </c>
      <c r="U288" s="79">
        <f>Q288/E288*100</f>
        <v>0</v>
      </c>
      <c r="V288" s="79">
        <f t="shared" si="229"/>
        <v>68.368891951837767</v>
      </c>
      <c r="W288" s="47">
        <f t="shared" si="226"/>
        <v>299483331</v>
      </c>
      <c r="X288" s="247">
        <f t="shared" si="234"/>
        <v>306397151</v>
      </c>
      <c r="Y288" s="247">
        <f t="shared" si="232"/>
        <v>340919518</v>
      </c>
      <c r="Z288" s="247">
        <f t="shared" si="233"/>
        <v>0</v>
      </c>
      <c r="AA288" s="93"/>
    </row>
    <row r="289" spans="1:27" s="14" customFormat="1">
      <c r="A289" s="119" t="s">
        <v>252</v>
      </c>
      <c r="B289" s="120" t="s">
        <v>253</v>
      </c>
      <c r="C289" s="95">
        <f>45675000+12600000+3150000-6825000</f>
        <v>54600000</v>
      </c>
      <c r="D289" s="95">
        <v>0</v>
      </c>
      <c r="E289" s="95">
        <v>27000000</v>
      </c>
      <c r="F289" s="95">
        <f t="shared" si="235"/>
        <v>81600000</v>
      </c>
      <c r="G289" s="121">
        <v>22500000</v>
      </c>
      <c r="H289" s="63">
        <v>0</v>
      </c>
      <c r="I289" s="63">
        <v>0</v>
      </c>
      <c r="J289" s="47">
        <f t="shared" si="230"/>
        <v>22500000</v>
      </c>
      <c r="K289" s="80"/>
      <c r="L289" s="47"/>
      <c r="M289" s="47"/>
      <c r="N289" s="47">
        <f>SUM(K289:M289)</f>
        <v>0</v>
      </c>
      <c r="O289" s="47">
        <f t="shared" si="207"/>
        <v>22500000</v>
      </c>
      <c r="P289" s="63">
        <f t="shared" si="208"/>
        <v>0</v>
      </c>
      <c r="Q289" s="63">
        <f>M289+I289</f>
        <v>0</v>
      </c>
      <c r="R289" s="47">
        <f>SUM(O289:Q289)</f>
        <v>22500000</v>
      </c>
      <c r="S289" s="130">
        <f>O289/C289*100</f>
        <v>41.208791208791204</v>
      </c>
      <c r="T289" s="79">
        <v>0</v>
      </c>
      <c r="U289" s="130">
        <f>Q289/E289*100</f>
        <v>0</v>
      </c>
      <c r="V289" s="130">
        <f t="shared" si="229"/>
        <v>27.573529411764707</v>
      </c>
      <c r="W289" s="63">
        <f>F289-R289</f>
        <v>59100000</v>
      </c>
      <c r="X289" s="247">
        <f t="shared" si="234"/>
        <v>22500000</v>
      </c>
      <c r="Y289" s="247">
        <f t="shared" si="232"/>
        <v>0</v>
      </c>
      <c r="Z289" s="247">
        <f t="shared" si="233"/>
        <v>0</v>
      </c>
      <c r="AA289" s="93"/>
    </row>
    <row r="290" spans="1:27">
      <c r="A290" s="44" t="s">
        <v>268</v>
      </c>
      <c r="B290" s="45" t="s">
        <v>363</v>
      </c>
      <c r="C290" s="46">
        <v>0</v>
      </c>
      <c r="D290" s="46">
        <f>392961800+8080000+20097000</f>
        <v>421138800</v>
      </c>
      <c r="E290" s="46">
        <v>0</v>
      </c>
      <c r="F290" s="46">
        <f t="shared" si="235"/>
        <v>421138800</v>
      </c>
      <c r="G290" s="48">
        <v>0</v>
      </c>
      <c r="H290" s="47">
        <v>0</v>
      </c>
      <c r="I290" s="47">
        <v>0</v>
      </c>
      <c r="J290" s="47">
        <f t="shared" si="230"/>
        <v>0</v>
      </c>
      <c r="K290" s="47"/>
      <c r="L290" s="47"/>
      <c r="M290" s="47"/>
      <c r="N290" s="47">
        <f t="shared" si="231"/>
        <v>0</v>
      </c>
      <c r="O290" s="47">
        <f t="shared" si="207"/>
        <v>0</v>
      </c>
      <c r="P290" s="47">
        <f t="shared" si="208"/>
        <v>0</v>
      </c>
      <c r="Q290" s="47">
        <f t="shared" si="209"/>
        <v>0</v>
      </c>
      <c r="R290" s="47">
        <f t="shared" si="210"/>
        <v>0</v>
      </c>
      <c r="S290" s="79">
        <v>0</v>
      </c>
      <c r="T290" s="79">
        <f t="shared" si="228"/>
        <v>0</v>
      </c>
      <c r="U290" s="79">
        <v>0</v>
      </c>
      <c r="V290" s="79">
        <f t="shared" si="229"/>
        <v>0</v>
      </c>
      <c r="W290" s="47">
        <f t="shared" si="226"/>
        <v>421138800</v>
      </c>
      <c r="X290" s="247">
        <f t="shared" si="234"/>
        <v>0</v>
      </c>
      <c r="Y290" s="247">
        <f t="shared" si="232"/>
        <v>0</v>
      </c>
      <c r="Z290" s="247">
        <f t="shared" si="233"/>
        <v>0</v>
      </c>
      <c r="AA290" s="93"/>
    </row>
    <row r="291" spans="1:27">
      <c r="A291" s="44" t="s">
        <v>151</v>
      </c>
      <c r="B291" s="45" t="s">
        <v>152</v>
      </c>
      <c r="C291" s="46">
        <v>0</v>
      </c>
      <c r="D291" s="46">
        <v>5206000</v>
      </c>
      <c r="E291" s="46">
        <v>0</v>
      </c>
      <c r="F291" s="46">
        <f t="shared" si="235"/>
        <v>5206000</v>
      </c>
      <c r="G291" s="48">
        <v>0</v>
      </c>
      <c r="H291" s="48">
        <v>5206000</v>
      </c>
      <c r="I291" s="47">
        <v>0</v>
      </c>
      <c r="J291" s="47">
        <f t="shared" si="230"/>
        <v>5206000</v>
      </c>
      <c r="K291" s="47"/>
      <c r="L291" s="47"/>
      <c r="M291" s="47"/>
      <c r="N291" s="47">
        <f t="shared" si="231"/>
        <v>0</v>
      </c>
      <c r="O291" s="47">
        <f t="shared" si="207"/>
        <v>0</v>
      </c>
      <c r="P291" s="47">
        <f t="shared" si="208"/>
        <v>5206000</v>
      </c>
      <c r="Q291" s="47">
        <f t="shared" si="209"/>
        <v>0</v>
      </c>
      <c r="R291" s="47">
        <f t="shared" si="210"/>
        <v>5206000</v>
      </c>
      <c r="S291" s="79">
        <v>0</v>
      </c>
      <c r="T291" s="79">
        <f t="shared" si="228"/>
        <v>100</v>
      </c>
      <c r="U291" s="79">
        <v>0</v>
      </c>
      <c r="V291" s="79">
        <f t="shared" si="229"/>
        <v>100</v>
      </c>
      <c r="W291" s="47">
        <f t="shared" si="226"/>
        <v>0</v>
      </c>
      <c r="X291" s="247">
        <f t="shared" si="234"/>
        <v>0</v>
      </c>
      <c r="Y291" s="247">
        <f t="shared" si="232"/>
        <v>5206000</v>
      </c>
      <c r="Z291" s="247">
        <f t="shared" si="233"/>
        <v>0</v>
      </c>
      <c r="AA291" s="93"/>
    </row>
    <row r="292" spans="1:27">
      <c r="A292" s="44" t="s">
        <v>269</v>
      </c>
      <c r="B292" s="45" t="s">
        <v>280</v>
      </c>
      <c r="C292" s="46">
        <v>0</v>
      </c>
      <c r="D292" s="46">
        <v>91006944</v>
      </c>
      <c r="E292" s="46">
        <v>0</v>
      </c>
      <c r="F292" s="46">
        <f t="shared" si="235"/>
        <v>91006944</v>
      </c>
      <c r="G292" s="48">
        <v>0</v>
      </c>
      <c r="H292" s="48">
        <v>90600000</v>
      </c>
      <c r="I292" s="47">
        <v>0</v>
      </c>
      <c r="J292" s="47">
        <f t="shared" si="230"/>
        <v>90600000</v>
      </c>
      <c r="K292" s="47"/>
      <c r="L292" s="47"/>
      <c r="M292" s="47"/>
      <c r="N292" s="47">
        <f t="shared" si="231"/>
        <v>0</v>
      </c>
      <c r="O292" s="47">
        <f t="shared" si="207"/>
        <v>0</v>
      </c>
      <c r="P292" s="47">
        <f t="shared" si="208"/>
        <v>90600000</v>
      </c>
      <c r="Q292" s="47">
        <f t="shared" si="209"/>
        <v>0</v>
      </c>
      <c r="R292" s="47">
        <f t="shared" si="210"/>
        <v>90600000</v>
      </c>
      <c r="S292" s="79">
        <v>0</v>
      </c>
      <c r="T292" s="79">
        <f t="shared" si="228"/>
        <v>99.552842912734221</v>
      </c>
      <c r="U292" s="79">
        <v>0</v>
      </c>
      <c r="V292" s="79">
        <f t="shared" si="229"/>
        <v>99.552842912734221</v>
      </c>
      <c r="W292" s="47">
        <f t="shared" si="226"/>
        <v>406944</v>
      </c>
      <c r="X292" s="247">
        <f t="shared" si="234"/>
        <v>0</v>
      </c>
      <c r="Y292" s="247">
        <f t="shared" si="232"/>
        <v>90600000</v>
      </c>
      <c r="Z292" s="247">
        <f t="shared" si="233"/>
        <v>0</v>
      </c>
      <c r="AA292" s="93"/>
    </row>
    <row r="293" spans="1:27" s="5" customFormat="1" ht="33">
      <c r="A293" s="59" t="s">
        <v>270</v>
      </c>
      <c r="B293" s="59" t="s">
        <v>271</v>
      </c>
      <c r="C293" s="110">
        <f>SUM(C294:C311)</f>
        <v>967729003</v>
      </c>
      <c r="D293" s="110">
        <f>SUM(D294:D311)</f>
        <v>992301136</v>
      </c>
      <c r="E293" s="110">
        <f>SUM(E294:E311)</f>
        <v>0</v>
      </c>
      <c r="F293" s="110">
        <f t="shared" si="235"/>
        <v>1960030139</v>
      </c>
      <c r="G293" s="110">
        <f>SUM(G294:G311)</f>
        <v>901340956</v>
      </c>
      <c r="H293" s="110">
        <f>SUM(H294:H311)</f>
        <v>868584629</v>
      </c>
      <c r="I293" s="110">
        <f>SUM(I294:I311)</f>
        <v>0</v>
      </c>
      <c r="J293" s="110">
        <f t="shared" ref="J293:J339" si="236">G293+H293+I293</f>
        <v>1769925585</v>
      </c>
      <c r="K293" s="110">
        <f>SUM(K294:K311)</f>
        <v>0</v>
      </c>
      <c r="L293" s="110">
        <f>SUM(L294:L311)</f>
        <v>0</v>
      </c>
      <c r="M293" s="110">
        <f>SUM(M294:M311)</f>
        <v>0</v>
      </c>
      <c r="N293" s="110">
        <f t="shared" si="231"/>
        <v>0</v>
      </c>
      <c r="O293" s="110">
        <f t="shared" si="207"/>
        <v>901340956</v>
      </c>
      <c r="P293" s="110">
        <f t="shared" si="208"/>
        <v>868584629</v>
      </c>
      <c r="Q293" s="110">
        <f t="shared" si="209"/>
        <v>0</v>
      </c>
      <c r="R293" s="110">
        <f t="shared" si="210"/>
        <v>1769925585</v>
      </c>
      <c r="S293" s="114">
        <f t="shared" si="227"/>
        <v>93.139810133395372</v>
      </c>
      <c r="T293" s="114">
        <f t="shared" si="228"/>
        <v>87.532362655684793</v>
      </c>
      <c r="U293" s="114">
        <v>0</v>
      </c>
      <c r="V293" s="114">
        <f t="shared" si="229"/>
        <v>90.300937204108976</v>
      </c>
      <c r="W293" s="110">
        <f t="shared" si="226"/>
        <v>190104554</v>
      </c>
      <c r="X293" s="247">
        <f t="shared" si="234"/>
        <v>901340956</v>
      </c>
      <c r="Y293" s="247">
        <f t="shared" si="232"/>
        <v>868584629</v>
      </c>
      <c r="Z293" s="247">
        <f t="shared" si="233"/>
        <v>0</v>
      </c>
      <c r="AA293" s="93"/>
    </row>
    <row r="294" spans="1:27">
      <c r="A294" s="44" t="s">
        <v>272</v>
      </c>
      <c r="B294" s="45" t="s">
        <v>204</v>
      </c>
      <c r="C294" s="46">
        <v>4065000</v>
      </c>
      <c r="D294" s="46">
        <v>0</v>
      </c>
      <c r="E294" s="46">
        <v>0</v>
      </c>
      <c r="F294" s="46">
        <f t="shared" si="235"/>
        <v>4065000</v>
      </c>
      <c r="G294" s="48">
        <v>0</v>
      </c>
      <c r="H294" s="47">
        <v>0</v>
      </c>
      <c r="I294" s="47">
        <v>0</v>
      </c>
      <c r="J294" s="47">
        <f t="shared" si="236"/>
        <v>0</v>
      </c>
      <c r="K294" s="47"/>
      <c r="L294" s="47"/>
      <c r="M294" s="47"/>
      <c r="N294" s="47">
        <f t="shared" si="231"/>
        <v>0</v>
      </c>
      <c r="O294" s="47">
        <f t="shared" si="207"/>
        <v>0</v>
      </c>
      <c r="P294" s="47">
        <f t="shared" si="208"/>
        <v>0</v>
      </c>
      <c r="Q294" s="47">
        <f t="shared" si="209"/>
        <v>0</v>
      </c>
      <c r="R294" s="47">
        <f t="shared" si="210"/>
        <v>0</v>
      </c>
      <c r="S294" s="79">
        <f t="shared" si="227"/>
        <v>0</v>
      </c>
      <c r="T294" s="79">
        <v>0</v>
      </c>
      <c r="U294" s="79">
        <v>0</v>
      </c>
      <c r="V294" s="79">
        <f t="shared" si="229"/>
        <v>0</v>
      </c>
      <c r="W294" s="47">
        <f t="shared" si="226"/>
        <v>4065000</v>
      </c>
      <c r="X294" s="247">
        <f t="shared" si="234"/>
        <v>0</v>
      </c>
      <c r="Y294" s="247">
        <f t="shared" si="232"/>
        <v>0</v>
      </c>
      <c r="Z294" s="247">
        <f t="shared" si="233"/>
        <v>0</v>
      </c>
      <c r="AA294" s="93"/>
    </row>
    <row r="295" spans="1:27">
      <c r="A295" s="44" t="s">
        <v>110</v>
      </c>
      <c r="B295" s="45" t="s">
        <v>273</v>
      </c>
      <c r="C295" s="46">
        <f>7000000+1100000</f>
        <v>8100000</v>
      </c>
      <c r="D295" s="46">
        <v>231800</v>
      </c>
      <c r="E295" s="46">
        <v>0</v>
      </c>
      <c r="F295" s="46">
        <f t="shared" si="235"/>
        <v>8331800</v>
      </c>
      <c r="G295" s="48">
        <v>6999500</v>
      </c>
      <c r="H295" s="47">
        <v>231800</v>
      </c>
      <c r="I295" s="47">
        <v>0</v>
      </c>
      <c r="J295" s="47">
        <f t="shared" si="236"/>
        <v>7231300</v>
      </c>
      <c r="K295" s="47"/>
      <c r="L295" s="47"/>
      <c r="M295" s="47"/>
      <c r="N295" s="47">
        <f t="shared" si="231"/>
        <v>0</v>
      </c>
      <c r="O295" s="47">
        <f t="shared" si="207"/>
        <v>6999500</v>
      </c>
      <c r="P295" s="47">
        <f t="shared" si="208"/>
        <v>231800</v>
      </c>
      <c r="Q295" s="47">
        <f t="shared" si="209"/>
        <v>0</v>
      </c>
      <c r="R295" s="47">
        <f t="shared" si="210"/>
        <v>7231300</v>
      </c>
      <c r="S295" s="79">
        <f t="shared" si="227"/>
        <v>86.413580246913583</v>
      </c>
      <c r="T295" s="79">
        <f t="shared" si="228"/>
        <v>100</v>
      </c>
      <c r="U295" s="79">
        <v>0</v>
      </c>
      <c r="V295" s="79">
        <f t="shared" si="229"/>
        <v>86.791569648815383</v>
      </c>
      <c r="W295" s="47">
        <f t="shared" si="226"/>
        <v>1100500</v>
      </c>
      <c r="X295" s="247">
        <f t="shared" si="234"/>
        <v>6999500</v>
      </c>
      <c r="Y295" s="247">
        <f t="shared" si="232"/>
        <v>231800</v>
      </c>
      <c r="Z295" s="247">
        <f t="shared" si="233"/>
        <v>0</v>
      </c>
      <c r="AA295" s="93"/>
    </row>
    <row r="296" spans="1:27">
      <c r="A296" s="44" t="s">
        <v>338</v>
      </c>
      <c r="B296" s="45" t="s">
        <v>339</v>
      </c>
      <c r="C296" s="46">
        <v>674000</v>
      </c>
      <c r="D296" s="46">
        <v>1095200</v>
      </c>
      <c r="E296" s="46">
        <v>0</v>
      </c>
      <c r="F296" s="46">
        <f t="shared" si="235"/>
        <v>1769200</v>
      </c>
      <c r="G296" s="48">
        <v>674000</v>
      </c>
      <c r="H296" s="47">
        <v>1095200</v>
      </c>
      <c r="I296" s="47">
        <v>0</v>
      </c>
      <c r="J296" s="47">
        <f t="shared" si="236"/>
        <v>1769200</v>
      </c>
      <c r="K296" s="47"/>
      <c r="L296" s="47"/>
      <c r="M296" s="47"/>
      <c r="N296" s="47">
        <f t="shared" si="231"/>
        <v>0</v>
      </c>
      <c r="O296" s="47">
        <f t="shared" si="207"/>
        <v>674000</v>
      </c>
      <c r="P296" s="47">
        <f t="shared" si="208"/>
        <v>1095200</v>
      </c>
      <c r="Q296" s="47">
        <f t="shared" si="209"/>
        <v>0</v>
      </c>
      <c r="R296" s="47">
        <f t="shared" si="210"/>
        <v>1769200</v>
      </c>
      <c r="S296" s="79">
        <f t="shared" si="227"/>
        <v>100</v>
      </c>
      <c r="T296" s="79">
        <f t="shared" si="228"/>
        <v>100</v>
      </c>
      <c r="U296" s="79">
        <v>0</v>
      </c>
      <c r="V296" s="79">
        <f t="shared" si="229"/>
        <v>100</v>
      </c>
      <c r="W296" s="47">
        <f t="shared" si="226"/>
        <v>0</v>
      </c>
      <c r="X296" s="247">
        <f t="shared" si="234"/>
        <v>674000</v>
      </c>
      <c r="Y296" s="247">
        <f t="shared" si="232"/>
        <v>1095200</v>
      </c>
      <c r="Z296" s="247">
        <f t="shared" si="233"/>
        <v>0</v>
      </c>
      <c r="AA296" s="93"/>
    </row>
    <row r="297" spans="1:27">
      <c r="A297" s="44" t="s">
        <v>112</v>
      </c>
      <c r="B297" s="45" t="s">
        <v>113</v>
      </c>
      <c r="C297" s="46">
        <f>6997653+6362110</f>
        <v>13359763</v>
      </c>
      <c r="D297" s="46">
        <v>44027</v>
      </c>
      <c r="E297" s="46">
        <v>0</v>
      </c>
      <c r="F297" s="46">
        <f t="shared" si="235"/>
        <v>13403790</v>
      </c>
      <c r="G297" s="47">
        <v>13255610</v>
      </c>
      <c r="H297" s="47">
        <v>43800</v>
      </c>
      <c r="I297" s="47">
        <v>0</v>
      </c>
      <c r="J297" s="47">
        <f t="shared" si="236"/>
        <v>13299410</v>
      </c>
      <c r="K297" s="47"/>
      <c r="L297" s="47"/>
      <c r="M297" s="47"/>
      <c r="N297" s="47">
        <f t="shared" si="231"/>
        <v>0</v>
      </c>
      <c r="O297" s="47">
        <f t="shared" si="207"/>
        <v>13255610</v>
      </c>
      <c r="P297" s="47">
        <f t="shared" si="208"/>
        <v>43800</v>
      </c>
      <c r="Q297" s="47">
        <f t="shared" si="209"/>
        <v>0</v>
      </c>
      <c r="R297" s="47">
        <f t="shared" si="210"/>
        <v>13299410</v>
      </c>
      <c r="S297" s="79">
        <f t="shared" si="227"/>
        <v>99.220397846877972</v>
      </c>
      <c r="T297" s="79">
        <f t="shared" si="228"/>
        <v>99.484407295523198</v>
      </c>
      <c r="U297" s="79">
        <v>0</v>
      </c>
      <c r="V297" s="79">
        <f t="shared" si="229"/>
        <v>99.221265030263822</v>
      </c>
      <c r="W297" s="47">
        <f t="shared" si="226"/>
        <v>104380</v>
      </c>
      <c r="X297" s="247">
        <f t="shared" si="234"/>
        <v>13255610</v>
      </c>
      <c r="Y297" s="247">
        <f t="shared" si="232"/>
        <v>43800</v>
      </c>
      <c r="Z297" s="247">
        <f t="shared" si="233"/>
        <v>0</v>
      </c>
      <c r="AA297" s="93"/>
    </row>
    <row r="298" spans="1:27">
      <c r="A298" s="44" t="s">
        <v>227</v>
      </c>
      <c r="B298" s="45" t="s">
        <v>364</v>
      </c>
      <c r="C298" s="46">
        <v>263400</v>
      </c>
      <c r="D298" s="46">
        <v>0</v>
      </c>
      <c r="E298" s="46">
        <v>0</v>
      </c>
      <c r="F298" s="46">
        <f t="shared" si="235"/>
        <v>263400</v>
      </c>
      <c r="G298" s="47">
        <v>263400</v>
      </c>
      <c r="H298" s="47">
        <v>0</v>
      </c>
      <c r="I298" s="47">
        <v>0</v>
      </c>
      <c r="J298" s="47">
        <f t="shared" si="236"/>
        <v>263400</v>
      </c>
      <c r="K298" s="47"/>
      <c r="L298" s="47"/>
      <c r="M298" s="47"/>
      <c r="N298" s="47">
        <f t="shared" si="231"/>
        <v>0</v>
      </c>
      <c r="O298" s="47">
        <f t="shared" si="207"/>
        <v>263400</v>
      </c>
      <c r="P298" s="47">
        <f t="shared" si="208"/>
        <v>0</v>
      </c>
      <c r="Q298" s="47">
        <f t="shared" si="209"/>
        <v>0</v>
      </c>
      <c r="R298" s="47">
        <f t="shared" si="210"/>
        <v>263400</v>
      </c>
      <c r="S298" s="79">
        <f t="shared" si="227"/>
        <v>100</v>
      </c>
      <c r="T298" s="79">
        <v>0</v>
      </c>
      <c r="U298" s="79">
        <v>0</v>
      </c>
      <c r="V298" s="79">
        <f t="shared" si="229"/>
        <v>100</v>
      </c>
      <c r="W298" s="47">
        <f t="shared" si="226"/>
        <v>0</v>
      </c>
      <c r="X298" s="247">
        <f t="shared" si="234"/>
        <v>263400</v>
      </c>
      <c r="Y298" s="247">
        <f t="shared" si="232"/>
        <v>0</v>
      </c>
      <c r="Z298" s="247">
        <f t="shared" si="233"/>
        <v>0</v>
      </c>
      <c r="AA298" s="93"/>
    </row>
    <row r="299" spans="1:27">
      <c r="A299" s="44" t="s">
        <v>365</v>
      </c>
      <c r="B299" s="45" t="s">
        <v>116</v>
      </c>
      <c r="C299" s="46">
        <v>4954000</v>
      </c>
      <c r="D299" s="46">
        <v>11061750</v>
      </c>
      <c r="E299" s="46">
        <v>0</v>
      </c>
      <c r="F299" s="46">
        <f t="shared" si="235"/>
        <v>16015750</v>
      </c>
      <c r="G299" s="46">
        <v>4954000</v>
      </c>
      <c r="H299" s="46">
        <v>11061750</v>
      </c>
      <c r="I299" s="47">
        <v>0</v>
      </c>
      <c r="J299" s="47">
        <f t="shared" si="236"/>
        <v>16015750</v>
      </c>
      <c r="K299" s="47"/>
      <c r="L299" s="47"/>
      <c r="M299" s="47"/>
      <c r="N299" s="47">
        <f t="shared" si="231"/>
        <v>0</v>
      </c>
      <c r="O299" s="47">
        <f t="shared" si="207"/>
        <v>4954000</v>
      </c>
      <c r="P299" s="47">
        <f t="shared" si="208"/>
        <v>11061750</v>
      </c>
      <c r="Q299" s="47">
        <f t="shared" si="209"/>
        <v>0</v>
      </c>
      <c r="R299" s="47">
        <f t="shared" si="210"/>
        <v>16015750</v>
      </c>
      <c r="S299" s="79">
        <f t="shared" si="227"/>
        <v>100</v>
      </c>
      <c r="T299" s="79">
        <f t="shared" si="228"/>
        <v>100</v>
      </c>
      <c r="U299" s="79">
        <v>0</v>
      </c>
      <c r="V299" s="79">
        <f t="shared" si="229"/>
        <v>100</v>
      </c>
      <c r="W299" s="47">
        <f t="shared" si="226"/>
        <v>0</v>
      </c>
      <c r="X299" s="247">
        <f t="shared" si="234"/>
        <v>4954000</v>
      </c>
      <c r="Y299" s="247">
        <f t="shared" si="232"/>
        <v>11061750</v>
      </c>
      <c r="Z299" s="247">
        <f t="shared" si="233"/>
        <v>0</v>
      </c>
      <c r="AA299" s="93"/>
    </row>
    <row r="300" spans="1:27">
      <c r="A300" s="44" t="s">
        <v>513</v>
      </c>
      <c r="B300" s="45" t="s">
        <v>527</v>
      </c>
      <c r="C300" s="46">
        <v>400000</v>
      </c>
      <c r="D300" s="46">
        <v>0</v>
      </c>
      <c r="E300" s="46">
        <v>0</v>
      </c>
      <c r="F300" s="46">
        <f t="shared" si="235"/>
        <v>400000</v>
      </c>
      <c r="G300" s="46"/>
      <c r="H300" s="46">
        <v>0</v>
      </c>
      <c r="I300" s="47">
        <v>0</v>
      </c>
      <c r="J300" s="47">
        <f t="shared" si="236"/>
        <v>0</v>
      </c>
      <c r="K300" s="47"/>
      <c r="L300" s="47"/>
      <c r="M300" s="47">
        <v>0</v>
      </c>
      <c r="N300" s="47">
        <f t="shared" ref="N300" si="237">SUM(K300:M300)</f>
        <v>0</v>
      </c>
      <c r="O300" s="47">
        <f t="shared" ref="O300" si="238">K300+G300</f>
        <v>0</v>
      </c>
      <c r="P300" s="47">
        <f t="shared" ref="P300" si="239">L300+H300</f>
        <v>0</v>
      </c>
      <c r="Q300" s="47">
        <f t="shared" ref="Q300" si="240">M300+I300</f>
        <v>0</v>
      </c>
      <c r="R300" s="47">
        <f t="shared" ref="R300" si="241">SUM(O300:Q300)</f>
        <v>0</v>
      </c>
      <c r="S300" s="79">
        <f t="shared" ref="S300" si="242">O300/C300*100</f>
        <v>0</v>
      </c>
      <c r="T300" s="79" t="e">
        <f t="shared" ref="T300" si="243">P300/D300*100</f>
        <v>#DIV/0!</v>
      </c>
      <c r="U300" s="79">
        <v>0</v>
      </c>
      <c r="V300" s="79">
        <f t="shared" ref="V300" si="244">R300/F300*100</f>
        <v>0</v>
      </c>
      <c r="W300" s="47">
        <f t="shared" ref="W300" si="245">F300-R300</f>
        <v>400000</v>
      </c>
      <c r="X300" s="247"/>
      <c r="Y300" s="247">
        <f t="shared" si="232"/>
        <v>0</v>
      </c>
      <c r="Z300" s="247">
        <f t="shared" si="233"/>
        <v>0</v>
      </c>
      <c r="AA300" s="93"/>
    </row>
    <row r="301" spans="1:27">
      <c r="A301" s="44" t="s">
        <v>118</v>
      </c>
      <c r="B301" s="45" t="s">
        <v>119</v>
      </c>
      <c r="C301" s="46">
        <f>26000000+17500000</f>
        <v>43500000</v>
      </c>
      <c r="D301" s="46">
        <v>0</v>
      </c>
      <c r="E301" s="46">
        <v>0</v>
      </c>
      <c r="F301" s="46">
        <f t="shared" si="235"/>
        <v>43500000</v>
      </c>
      <c r="G301" s="47">
        <v>43500000</v>
      </c>
      <c r="H301" s="47">
        <v>0</v>
      </c>
      <c r="I301" s="47">
        <v>0</v>
      </c>
      <c r="J301" s="47">
        <f t="shared" si="236"/>
        <v>43500000</v>
      </c>
      <c r="K301" s="47"/>
      <c r="L301" s="47"/>
      <c r="M301" s="47"/>
      <c r="N301" s="47">
        <f t="shared" si="231"/>
        <v>0</v>
      </c>
      <c r="O301" s="47">
        <f t="shared" si="207"/>
        <v>43500000</v>
      </c>
      <c r="P301" s="47">
        <f t="shared" si="208"/>
        <v>0</v>
      </c>
      <c r="Q301" s="47">
        <f t="shared" si="209"/>
        <v>0</v>
      </c>
      <c r="R301" s="47">
        <f t="shared" si="210"/>
        <v>43500000</v>
      </c>
      <c r="S301" s="79">
        <f t="shared" si="227"/>
        <v>100</v>
      </c>
      <c r="T301" s="79">
        <v>0</v>
      </c>
      <c r="U301" s="79">
        <v>0</v>
      </c>
      <c r="V301" s="79">
        <f t="shared" si="229"/>
        <v>100</v>
      </c>
      <c r="W301" s="47">
        <f t="shared" si="226"/>
        <v>0</v>
      </c>
      <c r="X301" s="247">
        <f t="shared" si="234"/>
        <v>43500000</v>
      </c>
      <c r="Y301" s="247">
        <f t="shared" si="232"/>
        <v>0</v>
      </c>
      <c r="Z301" s="247">
        <f t="shared" si="233"/>
        <v>0</v>
      </c>
      <c r="AA301" s="93"/>
    </row>
    <row r="302" spans="1:27">
      <c r="A302" s="44" t="s">
        <v>274</v>
      </c>
      <c r="B302" s="45" t="s">
        <v>239</v>
      </c>
      <c r="C302" s="46">
        <v>0</v>
      </c>
      <c r="D302" s="46">
        <v>607220355</v>
      </c>
      <c r="E302" s="46">
        <v>0</v>
      </c>
      <c r="F302" s="46">
        <f t="shared" si="235"/>
        <v>607220355</v>
      </c>
      <c r="G302" s="48">
        <v>0</v>
      </c>
      <c r="H302" s="47">
        <v>606800000</v>
      </c>
      <c r="I302" s="47">
        <v>0</v>
      </c>
      <c r="J302" s="47">
        <f t="shared" si="236"/>
        <v>606800000</v>
      </c>
      <c r="K302" s="47"/>
      <c r="L302" s="47"/>
      <c r="M302" s="47"/>
      <c r="N302" s="47">
        <f t="shared" si="231"/>
        <v>0</v>
      </c>
      <c r="O302" s="47">
        <f t="shared" si="207"/>
        <v>0</v>
      </c>
      <c r="P302" s="47">
        <f t="shared" si="208"/>
        <v>606800000</v>
      </c>
      <c r="Q302" s="47">
        <f t="shared" si="209"/>
        <v>0</v>
      </c>
      <c r="R302" s="47">
        <f t="shared" si="210"/>
        <v>606800000</v>
      </c>
      <c r="S302" s="79">
        <v>0</v>
      </c>
      <c r="T302" s="79">
        <f t="shared" si="228"/>
        <v>99.930773895087881</v>
      </c>
      <c r="U302" s="79">
        <v>0</v>
      </c>
      <c r="V302" s="79">
        <f t="shared" si="229"/>
        <v>99.930773895087881</v>
      </c>
      <c r="W302" s="47">
        <f t="shared" si="226"/>
        <v>420355</v>
      </c>
      <c r="X302" s="247">
        <f t="shared" si="234"/>
        <v>0</v>
      </c>
      <c r="Y302" s="247">
        <f t="shared" si="232"/>
        <v>606800000</v>
      </c>
      <c r="Z302" s="247">
        <f t="shared" si="233"/>
        <v>0</v>
      </c>
      <c r="AA302" s="93"/>
    </row>
    <row r="303" spans="1:27">
      <c r="A303" s="44" t="s">
        <v>275</v>
      </c>
      <c r="B303" s="45" t="s">
        <v>125</v>
      </c>
      <c r="C303" s="46">
        <f>210400000+112500000-37500000</f>
        <v>285400000</v>
      </c>
      <c r="D303" s="46">
        <v>0</v>
      </c>
      <c r="E303" s="46">
        <v>0</v>
      </c>
      <c r="F303" s="46">
        <f t="shared" si="235"/>
        <v>285400000</v>
      </c>
      <c r="G303" s="48">
        <v>285400000</v>
      </c>
      <c r="H303" s="47">
        <v>0</v>
      </c>
      <c r="I303" s="47">
        <v>0</v>
      </c>
      <c r="J303" s="47">
        <f t="shared" si="236"/>
        <v>285400000</v>
      </c>
      <c r="K303" s="47"/>
      <c r="L303" s="47"/>
      <c r="M303" s="47"/>
      <c r="N303" s="47">
        <f t="shared" si="231"/>
        <v>0</v>
      </c>
      <c r="O303" s="47">
        <f t="shared" si="207"/>
        <v>285400000</v>
      </c>
      <c r="P303" s="47">
        <f t="shared" si="208"/>
        <v>0</v>
      </c>
      <c r="Q303" s="47">
        <f t="shared" si="209"/>
        <v>0</v>
      </c>
      <c r="R303" s="47">
        <f t="shared" si="210"/>
        <v>285400000</v>
      </c>
      <c r="S303" s="79">
        <f t="shared" si="227"/>
        <v>100</v>
      </c>
      <c r="T303" s="79">
        <v>0</v>
      </c>
      <c r="U303" s="79">
        <v>0</v>
      </c>
      <c r="V303" s="79">
        <f t="shared" si="229"/>
        <v>100</v>
      </c>
      <c r="W303" s="47">
        <f t="shared" si="226"/>
        <v>0</v>
      </c>
      <c r="X303" s="247">
        <f t="shared" si="234"/>
        <v>285400000</v>
      </c>
      <c r="Y303" s="247">
        <f t="shared" si="232"/>
        <v>0</v>
      </c>
      <c r="Z303" s="247">
        <f t="shared" si="233"/>
        <v>0</v>
      </c>
      <c r="AA303" s="93"/>
    </row>
    <row r="304" spans="1:27">
      <c r="A304" s="44" t="s">
        <v>276</v>
      </c>
      <c r="B304" s="45" t="s">
        <v>138</v>
      </c>
      <c r="C304" s="95">
        <f>21550000+12400000</f>
        <v>33950000</v>
      </c>
      <c r="D304" s="95">
        <v>0</v>
      </c>
      <c r="E304" s="95">
        <v>0</v>
      </c>
      <c r="F304" s="95">
        <f t="shared" si="235"/>
        <v>33950000</v>
      </c>
      <c r="G304" s="121">
        <v>33550000</v>
      </c>
      <c r="H304" s="63">
        <v>0</v>
      </c>
      <c r="I304" s="63">
        <v>0</v>
      </c>
      <c r="J304" s="63">
        <f t="shared" si="236"/>
        <v>33550000</v>
      </c>
      <c r="K304" s="47"/>
      <c r="L304" s="47"/>
      <c r="M304" s="47"/>
      <c r="N304" s="63">
        <f t="shared" si="231"/>
        <v>0</v>
      </c>
      <c r="O304" s="47">
        <f t="shared" si="207"/>
        <v>33550000</v>
      </c>
      <c r="P304" s="63">
        <f t="shared" si="208"/>
        <v>0</v>
      </c>
      <c r="Q304" s="63">
        <f t="shared" si="209"/>
        <v>0</v>
      </c>
      <c r="R304" s="47">
        <f t="shared" si="210"/>
        <v>33550000</v>
      </c>
      <c r="S304" s="130">
        <f t="shared" si="227"/>
        <v>98.821796759941094</v>
      </c>
      <c r="T304" s="79">
        <v>0</v>
      </c>
      <c r="U304" s="130">
        <v>0</v>
      </c>
      <c r="V304" s="130">
        <f t="shared" si="229"/>
        <v>98.821796759941094</v>
      </c>
      <c r="W304" s="63">
        <f t="shared" si="226"/>
        <v>400000</v>
      </c>
      <c r="X304" s="247">
        <f t="shared" si="234"/>
        <v>33550000</v>
      </c>
      <c r="Y304" s="247">
        <f t="shared" si="232"/>
        <v>0</v>
      </c>
      <c r="Z304" s="247">
        <f t="shared" si="233"/>
        <v>0</v>
      </c>
      <c r="AA304" s="93"/>
    </row>
    <row r="305" spans="1:27">
      <c r="A305" s="44" t="s">
        <v>277</v>
      </c>
      <c r="B305" s="45" t="s">
        <v>140</v>
      </c>
      <c r="C305" s="95">
        <v>131250000</v>
      </c>
      <c r="D305" s="95">
        <v>0</v>
      </c>
      <c r="E305" s="95">
        <v>0</v>
      </c>
      <c r="F305" s="95">
        <f t="shared" si="235"/>
        <v>131250000</v>
      </c>
      <c r="G305" s="121">
        <v>75000000</v>
      </c>
      <c r="H305" s="63">
        <v>0</v>
      </c>
      <c r="I305" s="63">
        <v>0</v>
      </c>
      <c r="J305" s="63">
        <f t="shared" si="236"/>
        <v>75000000</v>
      </c>
      <c r="K305" s="47"/>
      <c r="L305" s="47"/>
      <c r="M305" s="47"/>
      <c r="N305" s="63">
        <f t="shared" si="231"/>
        <v>0</v>
      </c>
      <c r="O305" s="47">
        <f t="shared" si="207"/>
        <v>75000000</v>
      </c>
      <c r="P305" s="63">
        <f t="shared" si="208"/>
        <v>0</v>
      </c>
      <c r="Q305" s="63">
        <f t="shared" si="209"/>
        <v>0</v>
      </c>
      <c r="R305" s="47">
        <f t="shared" si="210"/>
        <v>75000000</v>
      </c>
      <c r="S305" s="130">
        <f t="shared" si="227"/>
        <v>57.142857142857139</v>
      </c>
      <c r="T305" s="79">
        <v>0</v>
      </c>
      <c r="U305" s="130">
        <v>0</v>
      </c>
      <c r="V305" s="130">
        <f t="shared" si="229"/>
        <v>57.142857142857139</v>
      </c>
      <c r="W305" s="63">
        <f t="shared" si="226"/>
        <v>56250000</v>
      </c>
      <c r="X305" s="247">
        <f t="shared" si="234"/>
        <v>75000000</v>
      </c>
      <c r="Y305" s="247">
        <f t="shared" si="232"/>
        <v>0</v>
      </c>
      <c r="Z305" s="247">
        <f t="shared" si="233"/>
        <v>0</v>
      </c>
      <c r="AA305" s="93"/>
    </row>
    <row r="306" spans="1:27">
      <c r="A306" s="44" t="s">
        <v>366</v>
      </c>
      <c r="B306" s="45" t="s">
        <v>367</v>
      </c>
      <c r="C306" s="95">
        <v>16950000</v>
      </c>
      <c r="D306" s="95">
        <v>0</v>
      </c>
      <c r="E306" s="95">
        <v>0</v>
      </c>
      <c r="F306" s="95">
        <f t="shared" si="235"/>
        <v>16950000</v>
      </c>
      <c r="G306" s="121">
        <v>16950000</v>
      </c>
      <c r="H306" s="63">
        <v>0</v>
      </c>
      <c r="I306" s="63">
        <v>0</v>
      </c>
      <c r="J306" s="63">
        <f t="shared" si="236"/>
        <v>16950000</v>
      </c>
      <c r="K306" s="47"/>
      <c r="L306" s="47"/>
      <c r="M306" s="47"/>
      <c r="N306" s="63">
        <f t="shared" si="231"/>
        <v>0</v>
      </c>
      <c r="O306" s="47">
        <f t="shared" si="207"/>
        <v>16950000</v>
      </c>
      <c r="P306" s="63">
        <f t="shared" si="208"/>
        <v>0</v>
      </c>
      <c r="Q306" s="63">
        <f t="shared" si="209"/>
        <v>0</v>
      </c>
      <c r="R306" s="47">
        <f t="shared" si="210"/>
        <v>16950000</v>
      </c>
      <c r="S306" s="130">
        <f t="shared" si="227"/>
        <v>100</v>
      </c>
      <c r="T306" s="79">
        <v>0</v>
      </c>
      <c r="U306" s="130">
        <v>0</v>
      </c>
      <c r="V306" s="130">
        <f t="shared" si="229"/>
        <v>100</v>
      </c>
      <c r="W306" s="63">
        <f t="shared" si="226"/>
        <v>0</v>
      </c>
      <c r="X306" s="247">
        <f t="shared" si="234"/>
        <v>16950000</v>
      </c>
      <c r="Y306" s="247">
        <f t="shared" si="232"/>
        <v>0</v>
      </c>
      <c r="Z306" s="247">
        <f t="shared" si="233"/>
        <v>0</v>
      </c>
      <c r="AA306" s="93"/>
    </row>
    <row r="307" spans="1:27">
      <c r="A307" s="44" t="s">
        <v>368</v>
      </c>
      <c r="B307" s="45" t="s">
        <v>369</v>
      </c>
      <c r="C307" s="95">
        <v>28860000</v>
      </c>
      <c r="D307" s="95">
        <v>0</v>
      </c>
      <c r="E307" s="95">
        <v>0</v>
      </c>
      <c r="F307" s="95">
        <f t="shared" si="235"/>
        <v>28860000</v>
      </c>
      <c r="G307" s="121">
        <v>28860000</v>
      </c>
      <c r="H307" s="63">
        <v>0</v>
      </c>
      <c r="I307" s="63">
        <v>0</v>
      </c>
      <c r="J307" s="63">
        <f t="shared" si="236"/>
        <v>28860000</v>
      </c>
      <c r="K307" s="47"/>
      <c r="L307" s="47"/>
      <c r="M307" s="47"/>
      <c r="N307" s="63">
        <f t="shared" si="231"/>
        <v>0</v>
      </c>
      <c r="O307" s="47">
        <f t="shared" si="207"/>
        <v>28860000</v>
      </c>
      <c r="P307" s="63">
        <f t="shared" si="208"/>
        <v>0</v>
      </c>
      <c r="Q307" s="63">
        <f t="shared" si="209"/>
        <v>0</v>
      </c>
      <c r="R307" s="47">
        <f t="shared" si="210"/>
        <v>28860000</v>
      </c>
      <c r="S307" s="130">
        <f t="shared" si="227"/>
        <v>100</v>
      </c>
      <c r="T307" s="79">
        <v>0</v>
      </c>
      <c r="U307" s="130">
        <v>0</v>
      </c>
      <c r="V307" s="130">
        <f t="shared" si="229"/>
        <v>100</v>
      </c>
      <c r="W307" s="63">
        <f t="shared" si="226"/>
        <v>0</v>
      </c>
      <c r="X307" s="247">
        <f t="shared" si="234"/>
        <v>28860000</v>
      </c>
      <c r="Y307" s="247">
        <f t="shared" si="232"/>
        <v>0</v>
      </c>
      <c r="Z307" s="247">
        <f t="shared" si="233"/>
        <v>0</v>
      </c>
      <c r="AA307" s="93"/>
    </row>
    <row r="308" spans="1:27">
      <c r="A308" s="44" t="s">
        <v>278</v>
      </c>
      <c r="B308" s="45" t="s">
        <v>101</v>
      </c>
      <c r="C308" s="95">
        <f>156100000+29400000+162220000+21000000</f>
        <v>368720000</v>
      </c>
      <c r="D308" s="95">
        <v>65400000</v>
      </c>
      <c r="E308" s="95">
        <v>0</v>
      </c>
      <c r="F308" s="95">
        <f t="shared" si="235"/>
        <v>434120000</v>
      </c>
      <c r="G308" s="63">
        <v>298218106</v>
      </c>
      <c r="H308" s="63">
        <v>11073500</v>
      </c>
      <c r="I308" s="63">
        <v>0</v>
      </c>
      <c r="J308" s="63">
        <f t="shared" si="236"/>
        <v>309291606</v>
      </c>
      <c r="K308" s="47"/>
      <c r="L308" s="80"/>
      <c r="M308" s="80"/>
      <c r="N308" s="63">
        <f t="shared" si="231"/>
        <v>0</v>
      </c>
      <c r="O308" s="47">
        <f t="shared" si="207"/>
        <v>298218106</v>
      </c>
      <c r="P308" s="63">
        <f t="shared" si="208"/>
        <v>11073500</v>
      </c>
      <c r="Q308" s="63">
        <f t="shared" si="209"/>
        <v>0</v>
      </c>
      <c r="R308" s="47">
        <f t="shared" si="210"/>
        <v>309291606</v>
      </c>
      <c r="S308" s="130">
        <f t="shared" si="227"/>
        <v>80.879286721631587</v>
      </c>
      <c r="T308" s="130">
        <f t="shared" si="228"/>
        <v>16.931957186544341</v>
      </c>
      <c r="U308" s="130">
        <v>0</v>
      </c>
      <c r="V308" s="130">
        <f t="shared" si="229"/>
        <v>71.245647747166686</v>
      </c>
      <c r="W308" s="63">
        <f t="shared" si="226"/>
        <v>124828394</v>
      </c>
      <c r="X308" s="247">
        <f t="shared" si="234"/>
        <v>298218106</v>
      </c>
      <c r="Y308" s="247">
        <f t="shared" si="232"/>
        <v>11073500</v>
      </c>
      <c r="Z308" s="247">
        <f t="shared" si="233"/>
        <v>0</v>
      </c>
      <c r="AA308" s="93"/>
    </row>
    <row r="309" spans="1:27">
      <c r="A309" s="44" t="s">
        <v>483</v>
      </c>
      <c r="B309" s="45" t="s">
        <v>484</v>
      </c>
      <c r="C309" s="95">
        <v>15000000</v>
      </c>
      <c r="D309" s="95">
        <v>0</v>
      </c>
      <c r="E309" s="95">
        <v>0</v>
      </c>
      <c r="F309" s="95">
        <f t="shared" si="235"/>
        <v>15000000</v>
      </c>
      <c r="G309" s="63">
        <v>15000000</v>
      </c>
      <c r="H309" s="63">
        <v>0</v>
      </c>
      <c r="I309" s="63">
        <v>0</v>
      </c>
      <c r="J309" s="63">
        <f t="shared" si="236"/>
        <v>15000000</v>
      </c>
      <c r="K309" s="47"/>
      <c r="L309" s="47"/>
      <c r="M309" s="47">
        <v>0</v>
      </c>
      <c r="N309" s="63">
        <f t="shared" ref="N309" si="246">SUM(K309:M309)</f>
        <v>0</v>
      </c>
      <c r="O309" s="47">
        <f t="shared" ref="O309" si="247">K309+G309</f>
        <v>15000000</v>
      </c>
      <c r="P309" s="63">
        <f t="shared" ref="P309" si="248">L309+H309</f>
        <v>0</v>
      </c>
      <c r="Q309" s="63">
        <f t="shared" ref="Q309" si="249">M309+I309</f>
        <v>0</v>
      </c>
      <c r="R309" s="47">
        <f t="shared" ref="R309" si="250">SUM(O309:Q309)</f>
        <v>15000000</v>
      </c>
      <c r="S309" s="130">
        <f t="shared" ref="S309" si="251">O309/C309*100</f>
        <v>100</v>
      </c>
      <c r="T309" s="130" t="e">
        <f t="shared" ref="T309" si="252">P309/D309*100</f>
        <v>#DIV/0!</v>
      </c>
      <c r="U309" s="130">
        <v>0</v>
      </c>
      <c r="V309" s="130">
        <f t="shared" ref="V309" si="253">R309/F309*100</f>
        <v>100</v>
      </c>
      <c r="W309" s="63">
        <f t="shared" ref="W309" si="254">F309-R309</f>
        <v>0</v>
      </c>
      <c r="X309" s="247"/>
      <c r="Y309" s="247">
        <f t="shared" si="232"/>
        <v>0</v>
      </c>
      <c r="Z309" s="247">
        <f t="shared" si="233"/>
        <v>0</v>
      </c>
      <c r="AA309" s="93"/>
    </row>
    <row r="310" spans="1:27">
      <c r="A310" s="44" t="s">
        <v>279</v>
      </c>
      <c r="B310" s="45" t="s">
        <v>152</v>
      </c>
      <c r="C310" s="95">
        <v>0</v>
      </c>
      <c r="D310" s="95">
        <f>96395250+70689850</f>
        <v>167085100</v>
      </c>
      <c r="E310" s="95">
        <v>0</v>
      </c>
      <c r="F310" s="95">
        <f t="shared" si="235"/>
        <v>167085100</v>
      </c>
      <c r="G310" s="121">
        <v>66433500</v>
      </c>
      <c r="H310" s="121">
        <v>98115675</v>
      </c>
      <c r="I310" s="63">
        <v>0</v>
      </c>
      <c r="J310" s="63">
        <f t="shared" si="236"/>
        <v>164549175</v>
      </c>
      <c r="K310" s="63"/>
      <c r="L310" s="47"/>
      <c r="M310" s="47"/>
      <c r="N310" s="63">
        <f t="shared" si="231"/>
        <v>0</v>
      </c>
      <c r="O310" s="47">
        <f t="shared" si="207"/>
        <v>66433500</v>
      </c>
      <c r="P310" s="63">
        <f t="shared" si="208"/>
        <v>98115675</v>
      </c>
      <c r="Q310" s="63">
        <f t="shared" si="209"/>
        <v>0</v>
      </c>
      <c r="R310" s="47">
        <f t="shared" si="210"/>
        <v>164549175</v>
      </c>
      <c r="S310" s="79">
        <v>0</v>
      </c>
      <c r="T310" s="130">
        <f t="shared" si="228"/>
        <v>58.721977603029828</v>
      </c>
      <c r="U310" s="130">
        <v>0</v>
      </c>
      <c r="V310" s="130">
        <f t="shared" si="229"/>
        <v>98.482255449468553</v>
      </c>
      <c r="W310" s="63">
        <f t="shared" si="226"/>
        <v>2535925</v>
      </c>
      <c r="X310" s="247">
        <f t="shared" si="234"/>
        <v>66433500</v>
      </c>
      <c r="Y310" s="247">
        <f t="shared" si="232"/>
        <v>98115675</v>
      </c>
      <c r="Z310" s="247">
        <f t="shared" si="233"/>
        <v>0</v>
      </c>
      <c r="AA310" s="93"/>
    </row>
    <row r="311" spans="1:27">
      <c r="A311" s="44" t="s">
        <v>370</v>
      </c>
      <c r="B311" s="45" t="s">
        <v>371</v>
      </c>
      <c r="C311" s="95">
        <v>12282840</v>
      </c>
      <c r="D311" s="95">
        <v>140162904</v>
      </c>
      <c r="E311" s="95">
        <v>0</v>
      </c>
      <c r="F311" s="95">
        <f t="shared" si="235"/>
        <v>152445744</v>
      </c>
      <c r="G311" s="121">
        <v>12282840</v>
      </c>
      <c r="H311" s="63">
        <v>140162904</v>
      </c>
      <c r="I311" s="63">
        <v>0</v>
      </c>
      <c r="J311" s="63">
        <f t="shared" si="236"/>
        <v>152445744</v>
      </c>
      <c r="K311" s="63"/>
      <c r="L311" s="47"/>
      <c r="M311" s="47"/>
      <c r="N311" s="63">
        <f t="shared" si="231"/>
        <v>0</v>
      </c>
      <c r="O311" s="47">
        <f t="shared" si="207"/>
        <v>12282840</v>
      </c>
      <c r="P311" s="63">
        <f t="shared" si="208"/>
        <v>140162904</v>
      </c>
      <c r="Q311" s="63">
        <f t="shared" si="209"/>
        <v>0</v>
      </c>
      <c r="R311" s="47">
        <f t="shared" si="210"/>
        <v>152445744</v>
      </c>
      <c r="S311" s="130">
        <f t="shared" si="227"/>
        <v>100</v>
      </c>
      <c r="T311" s="130">
        <f t="shared" si="228"/>
        <v>100</v>
      </c>
      <c r="U311" s="130">
        <v>0</v>
      </c>
      <c r="V311" s="130">
        <f t="shared" si="229"/>
        <v>100</v>
      </c>
      <c r="W311" s="63">
        <f t="shared" si="226"/>
        <v>0</v>
      </c>
      <c r="X311" s="247">
        <f t="shared" si="234"/>
        <v>12282840</v>
      </c>
      <c r="Y311" s="247">
        <f t="shared" si="232"/>
        <v>140162904</v>
      </c>
      <c r="Z311" s="247">
        <f t="shared" si="233"/>
        <v>0</v>
      </c>
      <c r="AA311" s="93"/>
    </row>
    <row r="312" spans="1:27" s="10" customFormat="1" ht="18">
      <c r="A312" s="56"/>
      <c r="B312" s="122" t="s">
        <v>21</v>
      </c>
      <c r="C312" s="116">
        <f>C313+C322</f>
        <v>1218929441</v>
      </c>
      <c r="D312" s="116">
        <f>D313+D322</f>
        <v>290816000</v>
      </c>
      <c r="E312" s="116">
        <f>E313+E322</f>
        <v>140760000</v>
      </c>
      <c r="F312" s="116">
        <f t="shared" si="235"/>
        <v>1650505441</v>
      </c>
      <c r="G312" s="116">
        <f t="shared" ref="G312:I312" si="255">G313+G322</f>
        <v>1250133218</v>
      </c>
      <c r="H312" s="116">
        <f t="shared" si="255"/>
        <v>78869500</v>
      </c>
      <c r="I312" s="116">
        <f t="shared" si="255"/>
        <v>12600000</v>
      </c>
      <c r="J312" s="116">
        <f t="shared" si="236"/>
        <v>1341602718</v>
      </c>
      <c r="K312" s="116">
        <f>K313+K322</f>
        <v>0</v>
      </c>
      <c r="L312" s="116">
        <f t="shared" ref="L312:M312" si="256">L313+L322</f>
        <v>0</v>
      </c>
      <c r="M312" s="116">
        <f t="shared" si="256"/>
        <v>0</v>
      </c>
      <c r="N312" s="116">
        <f t="shared" si="231"/>
        <v>0</v>
      </c>
      <c r="O312" s="116">
        <f t="shared" si="207"/>
        <v>1250133218</v>
      </c>
      <c r="P312" s="116">
        <f t="shared" si="208"/>
        <v>78869500</v>
      </c>
      <c r="Q312" s="116">
        <f t="shared" si="209"/>
        <v>12600000</v>
      </c>
      <c r="R312" s="116">
        <f t="shared" si="210"/>
        <v>1341602718</v>
      </c>
      <c r="S312" s="127">
        <f t="shared" si="227"/>
        <v>102.55993299943601</v>
      </c>
      <c r="T312" s="127">
        <f t="shared" si="228"/>
        <v>27.120069047095068</v>
      </c>
      <c r="U312" s="127">
        <f>Q312/E312*100</f>
        <v>8.9514066496163682</v>
      </c>
      <c r="V312" s="127">
        <f t="shared" si="229"/>
        <v>81.28435597202008</v>
      </c>
      <c r="W312" s="116">
        <f t="shared" si="226"/>
        <v>308902723</v>
      </c>
      <c r="X312" s="247">
        <f t="shared" si="234"/>
        <v>1250133218</v>
      </c>
      <c r="Y312" s="247">
        <f t="shared" si="232"/>
        <v>78869500</v>
      </c>
      <c r="Z312" s="247">
        <f t="shared" si="233"/>
        <v>12600000</v>
      </c>
      <c r="AA312" s="93"/>
    </row>
    <row r="313" spans="1:27" s="11" customFormat="1" ht="18">
      <c r="A313" s="35" t="s">
        <v>281</v>
      </c>
      <c r="B313" s="36" t="s">
        <v>263</v>
      </c>
      <c r="C313" s="123">
        <f t="shared" ref="C313:M314" si="257">C314</f>
        <v>352480400</v>
      </c>
      <c r="D313" s="123">
        <f t="shared" si="257"/>
        <v>59816000</v>
      </c>
      <c r="E313" s="123">
        <f t="shared" si="257"/>
        <v>0</v>
      </c>
      <c r="F313" s="123">
        <f t="shared" si="235"/>
        <v>412296400</v>
      </c>
      <c r="G313" s="123">
        <f t="shared" ref="G313:I314" si="258">G314</f>
        <v>275485450</v>
      </c>
      <c r="H313" s="123">
        <f t="shared" si="258"/>
        <v>34616000</v>
      </c>
      <c r="I313" s="123">
        <f t="shared" si="258"/>
        <v>0</v>
      </c>
      <c r="J313" s="123">
        <f t="shared" si="236"/>
        <v>310101450</v>
      </c>
      <c r="K313" s="123">
        <f t="shared" si="257"/>
        <v>0</v>
      </c>
      <c r="L313" s="123">
        <f t="shared" si="257"/>
        <v>0</v>
      </c>
      <c r="M313" s="123">
        <f t="shared" si="257"/>
        <v>0</v>
      </c>
      <c r="N313" s="123">
        <f t="shared" si="231"/>
        <v>0</v>
      </c>
      <c r="O313" s="123">
        <f t="shared" si="207"/>
        <v>275485450</v>
      </c>
      <c r="P313" s="123">
        <f t="shared" si="208"/>
        <v>34616000</v>
      </c>
      <c r="Q313" s="123">
        <f t="shared" si="209"/>
        <v>0</v>
      </c>
      <c r="R313" s="123">
        <f t="shared" si="210"/>
        <v>310101450</v>
      </c>
      <c r="S313" s="131">
        <f t="shared" si="227"/>
        <v>78.156246418240556</v>
      </c>
      <c r="T313" s="131">
        <f t="shared" si="228"/>
        <v>57.870803798314832</v>
      </c>
      <c r="U313" s="131">
        <v>0</v>
      </c>
      <c r="V313" s="131">
        <f t="shared" si="229"/>
        <v>75.213232519129448</v>
      </c>
      <c r="W313" s="123">
        <f t="shared" si="226"/>
        <v>102194950</v>
      </c>
      <c r="X313" s="247">
        <f t="shared" si="234"/>
        <v>275485450</v>
      </c>
      <c r="Y313" s="247">
        <f t="shared" si="232"/>
        <v>34616000</v>
      </c>
      <c r="Z313" s="247">
        <f t="shared" si="233"/>
        <v>0</v>
      </c>
      <c r="AA313" s="93"/>
    </row>
    <row r="314" spans="1:27" s="12" customFormat="1" ht="18">
      <c r="A314" s="38" t="s">
        <v>282</v>
      </c>
      <c r="B314" s="107" t="s">
        <v>265</v>
      </c>
      <c r="C314" s="124">
        <f>C315</f>
        <v>352480400</v>
      </c>
      <c r="D314" s="124">
        <f>D315</f>
        <v>59816000</v>
      </c>
      <c r="E314" s="124">
        <f>E315</f>
        <v>0</v>
      </c>
      <c r="F314" s="124">
        <f t="shared" si="235"/>
        <v>412296400</v>
      </c>
      <c r="G314" s="124">
        <f t="shared" si="258"/>
        <v>275485450</v>
      </c>
      <c r="H314" s="124">
        <f t="shared" si="258"/>
        <v>34616000</v>
      </c>
      <c r="I314" s="124">
        <f t="shared" si="258"/>
        <v>0</v>
      </c>
      <c r="J314" s="124">
        <f t="shared" si="236"/>
        <v>310101450</v>
      </c>
      <c r="K314" s="124">
        <f t="shared" si="257"/>
        <v>0</v>
      </c>
      <c r="L314" s="124">
        <f t="shared" si="257"/>
        <v>0</v>
      </c>
      <c r="M314" s="124">
        <f t="shared" si="257"/>
        <v>0</v>
      </c>
      <c r="N314" s="124">
        <f t="shared" si="231"/>
        <v>0</v>
      </c>
      <c r="O314" s="124">
        <f t="shared" ref="O314:O377" si="259">K314+G314</f>
        <v>275485450</v>
      </c>
      <c r="P314" s="124">
        <f t="shared" ref="P314:P377" si="260">L314+H314</f>
        <v>34616000</v>
      </c>
      <c r="Q314" s="124">
        <f t="shared" ref="Q314:Q377" si="261">M314+I314</f>
        <v>0</v>
      </c>
      <c r="R314" s="124">
        <f t="shared" ref="R314:R377" si="262">SUM(O314:Q314)</f>
        <v>310101450</v>
      </c>
      <c r="S314" s="132">
        <f t="shared" si="227"/>
        <v>78.156246418240556</v>
      </c>
      <c r="T314" s="132">
        <f t="shared" si="228"/>
        <v>57.870803798314832</v>
      </c>
      <c r="U314" s="132">
        <v>0</v>
      </c>
      <c r="V314" s="132">
        <f t="shared" si="229"/>
        <v>75.213232519129448</v>
      </c>
      <c r="W314" s="124">
        <f t="shared" si="226"/>
        <v>102194950</v>
      </c>
      <c r="X314" s="247">
        <f t="shared" si="234"/>
        <v>275485450</v>
      </c>
      <c r="Y314" s="247">
        <f t="shared" si="232"/>
        <v>34616000</v>
      </c>
      <c r="Z314" s="247">
        <f t="shared" si="233"/>
        <v>0</v>
      </c>
      <c r="AA314" s="93"/>
    </row>
    <row r="315" spans="1:27" s="5" customFormat="1" ht="33">
      <c r="A315" s="59" t="s">
        <v>270</v>
      </c>
      <c r="B315" s="59" t="s">
        <v>271</v>
      </c>
      <c r="C315" s="110">
        <f>SUM(C316:C321)</f>
        <v>352480400</v>
      </c>
      <c r="D315" s="110">
        <f>SUM(D316:D321)</f>
        <v>59816000</v>
      </c>
      <c r="E315" s="110">
        <f>SUM(E316:E321)</f>
        <v>0</v>
      </c>
      <c r="F315" s="110">
        <f t="shared" si="235"/>
        <v>412296400</v>
      </c>
      <c r="G315" s="110">
        <f t="shared" ref="G315:I315" si="263">SUM(G316:G321)</f>
        <v>275485450</v>
      </c>
      <c r="H315" s="110">
        <f t="shared" si="263"/>
        <v>34616000</v>
      </c>
      <c r="I315" s="110">
        <f t="shared" si="263"/>
        <v>0</v>
      </c>
      <c r="J315" s="110">
        <f t="shared" si="236"/>
        <v>310101450</v>
      </c>
      <c r="K315" s="110">
        <f t="shared" ref="K315:M315" si="264">SUM(K316:K321)</f>
        <v>0</v>
      </c>
      <c r="L315" s="110">
        <f t="shared" si="264"/>
        <v>0</v>
      </c>
      <c r="M315" s="110">
        <f t="shared" si="264"/>
        <v>0</v>
      </c>
      <c r="N315" s="110">
        <f t="shared" si="231"/>
        <v>0</v>
      </c>
      <c r="O315" s="110">
        <f t="shared" si="259"/>
        <v>275485450</v>
      </c>
      <c r="P315" s="110">
        <f t="shared" si="260"/>
        <v>34616000</v>
      </c>
      <c r="Q315" s="110">
        <f t="shared" si="261"/>
        <v>0</v>
      </c>
      <c r="R315" s="110">
        <f t="shared" si="262"/>
        <v>310101450</v>
      </c>
      <c r="S315" s="114">
        <f t="shared" si="227"/>
        <v>78.156246418240556</v>
      </c>
      <c r="T315" s="114">
        <f t="shared" si="228"/>
        <v>57.870803798314832</v>
      </c>
      <c r="U315" s="114">
        <v>0</v>
      </c>
      <c r="V315" s="114">
        <f t="shared" si="229"/>
        <v>75.213232519129448</v>
      </c>
      <c r="W315" s="110">
        <f t="shared" si="226"/>
        <v>102194950</v>
      </c>
      <c r="X315" s="247">
        <f t="shared" si="234"/>
        <v>275485450</v>
      </c>
      <c r="Y315" s="247">
        <f t="shared" si="232"/>
        <v>34616000</v>
      </c>
      <c r="Z315" s="247">
        <f t="shared" si="233"/>
        <v>0</v>
      </c>
      <c r="AA315" s="93"/>
    </row>
    <row r="316" spans="1:27">
      <c r="A316" s="44" t="s">
        <v>112</v>
      </c>
      <c r="B316" s="45" t="s">
        <v>113</v>
      </c>
      <c r="C316" s="46">
        <v>1133000</v>
      </c>
      <c r="D316" s="46">
        <v>416000</v>
      </c>
      <c r="E316" s="46">
        <v>0</v>
      </c>
      <c r="F316" s="46">
        <f t="shared" si="235"/>
        <v>1549000</v>
      </c>
      <c r="G316" s="47">
        <v>670000</v>
      </c>
      <c r="H316" s="47">
        <v>416000</v>
      </c>
      <c r="I316" s="47">
        <v>0</v>
      </c>
      <c r="J316" s="47">
        <f t="shared" si="236"/>
        <v>1086000</v>
      </c>
      <c r="K316" s="47"/>
      <c r="L316" s="47"/>
      <c r="M316" s="47"/>
      <c r="N316" s="47">
        <f t="shared" si="231"/>
        <v>0</v>
      </c>
      <c r="O316" s="47">
        <f t="shared" si="259"/>
        <v>670000</v>
      </c>
      <c r="P316" s="47">
        <f t="shared" si="260"/>
        <v>416000</v>
      </c>
      <c r="Q316" s="47">
        <f t="shared" si="261"/>
        <v>0</v>
      </c>
      <c r="R316" s="47">
        <f t="shared" si="262"/>
        <v>1086000</v>
      </c>
      <c r="S316" s="79">
        <f t="shared" si="227"/>
        <v>59.135039717563984</v>
      </c>
      <c r="T316" s="79">
        <f t="shared" si="228"/>
        <v>100</v>
      </c>
      <c r="U316" s="79">
        <v>0</v>
      </c>
      <c r="V316" s="79">
        <f t="shared" si="229"/>
        <v>70.109748224661075</v>
      </c>
      <c r="W316" s="47">
        <f t="shared" si="226"/>
        <v>463000</v>
      </c>
      <c r="X316" s="247">
        <f t="shared" si="234"/>
        <v>670000</v>
      </c>
      <c r="Y316" s="247">
        <f t="shared" si="232"/>
        <v>416000</v>
      </c>
      <c r="Z316" s="247">
        <f t="shared" si="233"/>
        <v>0</v>
      </c>
      <c r="AA316" s="93"/>
    </row>
    <row r="317" spans="1:27">
      <c r="A317" s="44" t="s">
        <v>114</v>
      </c>
      <c r="B317" s="45" t="s">
        <v>283</v>
      </c>
      <c r="C317" s="46">
        <v>2872400</v>
      </c>
      <c r="D317" s="46">
        <v>0</v>
      </c>
      <c r="E317" s="46">
        <v>0</v>
      </c>
      <c r="F317" s="46">
        <f t="shared" si="235"/>
        <v>2872400</v>
      </c>
      <c r="G317" s="47">
        <v>2750000</v>
      </c>
      <c r="H317" s="47">
        <v>0</v>
      </c>
      <c r="I317" s="47">
        <v>0</v>
      </c>
      <c r="J317" s="47">
        <f t="shared" si="236"/>
        <v>2750000</v>
      </c>
      <c r="K317" s="47"/>
      <c r="L317" s="47"/>
      <c r="M317" s="47"/>
      <c r="N317" s="47">
        <f t="shared" si="231"/>
        <v>0</v>
      </c>
      <c r="O317" s="47">
        <f t="shared" si="259"/>
        <v>2750000</v>
      </c>
      <c r="P317" s="47">
        <f t="shared" si="260"/>
        <v>0</v>
      </c>
      <c r="Q317" s="47">
        <f t="shared" si="261"/>
        <v>0</v>
      </c>
      <c r="R317" s="47">
        <f t="shared" si="262"/>
        <v>2750000</v>
      </c>
      <c r="S317" s="79">
        <f t="shared" si="227"/>
        <v>95.738755048043444</v>
      </c>
      <c r="T317" s="79">
        <v>0</v>
      </c>
      <c r="U317" s="79">
        <v>0</v>
      </c>
      <c r="V317" s="79">
        <f t="shared" si="229"/>
        <v>95.738755048043444</v>
      </c>
      <c r="W317" s="47">
        <f t="shared" si="226"/>
        <v>122400</v>
      </c>
      <c r="X317" s="247">
        <f t="shared" si="234"/>
        <v>2750000</v>
      </c>
      <c r="Y317" s="247">
        <f t="shared" si="232"/>
        <v>0</v>
      </c>
      <c r="Z317" s="247">
        <f t="shared" si="233"/>
        <v>0</v>
      </c>
      <c r="AA317" s="93"/>
    </row>
    <row r="318" spans="1:27">
      <c r="A318" s="44" t="s">
        <v>118</v>
      </c>
      <c r="B318" s="45" t="s">
        <v>119</v>
      </c>
      <c r="C318" s="46">
        <v>0</v>
      </c>
      <c r="D318" s="46">
        <v>3750000</v>
      </c>
      <c r="E318" s="46">
        <v>0</v>
      </c>
      <c r="F318" s="46">
        <f t="shared" si="235"/>
        <v>3750000</v>
      </c>
      <c r="G318" s="47">
        <v>0</v>
      </c>
      <c r="H318" s="47">
        <v>3750000</v>
      </c>
      <c r="I318" s="47">
        <v>0</v>
      </c>
      <c r="J318" s="47">
        <f t="shared" si="236"/>
        <v>3750000</v>
      </c>
      <c r="K318" s="47"/>
      <c r="L318" s="47"/>
      <c r="M318" s="47"/>
      <c r="N318" s="47">
        <f t="shared" si="231"/>
        <v>0</v>
      </c>
      <c r="O318" s="47">
        <f t="shared" si="259"/>
        <v>0</v>
      </c>
      <c r="P318" s="47">
        <f t="shared" si="260"/>
        <v>3750000</v>
      </c>
      <c r="Q318" s="47">
        <f t="shared" si="261"/>
        <v>0</v>
      </c>
      <c r="R318" s="47">
        <f t="shared" si="262"/>
        <v>3750000</v>
      </c>
      <c r="S318" s="79">
        <v>0</v>
      </c>
      <c r="T318" s="79">
        <f t="shared" si="228"/>
        <v>100</v>
      </c>
      <c r="U318" s="79">
        <v>0</v>
      </c>
      <c r="V318" s="79">
        <f t="shared" si="229"/>
        <v>100</v>
      </c>
      <c r="W318" s="47">
        <f t="shared" si="226"/>
        <v>0</v>
      </c>
      <c r="X318" s="247">
        <f t="shared" si="234"/>
        <v>0</v>
      </c>
      <c r="Y318" s="247">
        <f t="shared" si="232"/>
        <v>3750000</v>
      </c>
      <c r="Z318" s="247">
        <f t="shared" si="233"/>
        <v>0</v>
      </c>
      <c r="AA318" s="93"/>
    </row>
    <row r="319" spans="1:27">
      <c r="A319" s="44" t="s">
        <v>275</v>
      </c>
      <c r="B319" s="45" t="s">
        <v>125</v>
      </c>
      <c r="C319" s="46">
        <v>61075000</v>
      </c>
      <c r="D319" s="46">
        <v>18750000</v>
      </c>
      <c r="E319" s="46">
        <v>0</v>
      </c>
      <c r="F319" s="46">
        <f t="shared" si="235"/>
        <v>79825000</v>
      </c>
      <c r="G319" s="47">
        <v>47880000</v>
      </c>
      <c r="H319" s="47">
        <v>18750000</v>
      </c>
      <c r="I319" s="47">
        <v>0</v>
      </c>
      <c r="J319" s="47">
        <f t="shared" si="236"/>
        <v>66630000</v>
      </c>
      <c r="K319" s="47"/>
      <c r="L319" s="47"/>
      <c r="M319" s="47"/>
      <c r="N319" s="47">
        <f t="shared" si="231"/>
        <v>0</v>
      </c>
      <c r="O319" s="47">
        <f t="shared" si="259"/>
        <v>47880000</v>
      </c>
      <c r="P319" s="47">
        <f t="shared" si="260"/>
        <v>18750000</v>
      </c>
      <c r="Q319" s="47">
        <f t="shared" si="261"/>
        <v>0</v>
      </c>
      <c r="R319" s="47">
        <f t="shared" si="262"/>
        <v>66630000</v>
      </c>
      <c r="S319" s="79">
        <f t="shared" si="227"/>
        <v>78.395415472779376</v>
      </c>
      <c r="T319" s="79">
        <f t="shared" si="228"/>
        <v>100</v>
      </c>
      <c r="U319" s="79">
        <v>0</v>
      </c>
      <c r="V319" s="79">
        <f t="shared" si="229"/>
        <v>83.470090823676784</v>
      </c>
      <c r="W319" s="47">
        <f t="shared" si="226"/>
        <v>13195000</v>
      </c>
      <c r="X319" s="247">
        <f t="shared" si="234"/>
        <v>47880000</v>
      </c>
      <c r="Y319" s="247">
        <f t="shared" si="232"/>
        <v>18750000</v>
      </c>
      <c r="Z319" s="247">
        <f t="shared" si="233"/>
        <v>0</v>
      </c>
      <c r="AA319" s="93"/>
    </row>
    <row r="320" spans="1:27">
      <c r="A320" s="44" t="s">
        <v>276</v>
      </c>
      <c r="B320" s="45" t="s">
        <v>138</v>
      </c>
      <c r="C320" s="46">
        <v>70200000</v>
      </c>
      <c r="D320" s="46">
        <v>11700000</v>
      </c>
      <c r="E320" s="46">
        <v>0</v>
      </c>
      <c r="F320" s="46">
        <f t="shared" si="235"/>
        <v>81900000</v>
      </c>
      <c r="G320" s="47">
        <v>37700000</v>
      </c>
      <c r="H320" s="47">
        <v>11700000</v>
      </c>
      <c r="I320" s="47">
        <v>0</v>
      </c>
      <c r="J320" s="47">
        <f t="shared" si="236"/>
        <v>49400000</v>
      </c>
      <c r="K320" s="47"/>
      <c r="L320" s="47"/>
      <c r="M320" s="47"/>
      <c r="N320" s="47">
        <f t="shared" si="231"/>
        <v>0</v>
      </c>
      <c r="O320" s="47">
        <f t="shared" si="259"/>
        <v>37700000</v>
      </c>
      <c r="P320" s="47">
        <f t="shared" si="260"/>
        <v>11700000</v>
      </c>
      <c r="Q320" s="47">
        <f t="shared" si="261"/>
        <v>0</v>
      </c>
      <c r="R320" s="47">
        <f t="shared" si="262"/>
        <v>49400000</v>
      </c>
      <c r="S320" s="79">
        <f t="shared" si="227"/>
        <v>53.703703703703709</v>
      </c>
      <c r="T320" s="79">
        <f t="shared" si="228"/>
        <v>100</v>
      </c>
      <c r="U320" s="79">
        <v>0</v>
      </c>
      <c r="V320" s="79">
        <f t="shared" si="229"/>
        <v>60.317460317460316</v>
      </c>
      <c r="W320" s="47">
        <f t="shared" si="226"/>
        <v>32500000</v>
      </c>
      <c r="X320" s="247">
        <f t="shared" si="234"/>
        <v>37700000</v>
      </c>
      <c r="Y320" s="247">
        <f t="shared" si="232"/>
        <v>11700000</v>
      </c>
      <c r="Z320" s="247">
        <f t="shared" si="233"/>
        <v>0</v>
      </c>
      <c r="AA320" s="93"/>
    </row>
    <row r="321" spans="1:41">
      <c r="A321" s="44" t="s">
        <v>278</v>
      </c>
      <c r="B321" s="45" t="s">
        <v>101</v>
      </c>
      <c r="C321" s="46">
        <v>217200000</v>
      </c>
      <c r="D321" s="46">
        <v>25200000</v>
      </c>
      <c r="E321" s="46">
        <v>0</v>
      </c>
      <c r="F321" s="46">
        <f t="shared" si="235"/>
        <v>242400000</v>
      </c>
      <c r="G321" s="47">
        <v>186485450</v>
      </c>
      <c r="H321" s="47">
        <v>0</v>
      </c>
      <c r="I321" s="47">
        <v>0</v>
      </c>
      <c r="J321" s="47">
        <f t="shared" si="236"/>
        <v>186485450</v>
      </c>
      <c r="K321" s="47"/>
      <c r="L321" s="47"/>
      <c r="M321" s="47"/>
      <c r="N321" s="47">
        <f t="shared" si="231"/>
        <v>0</v>
      </c>
      <c r="O321" s="47">
        <f t="shared" si="259"/>
        <v>186485450</v>
      </c>
      <c r="P321" s="47">
        <f t="shared" si="260"/>
        <v>0</v>
      </c>
      <c r="Q321" s="47">
        <f t="shared" si="261"/>
        <v>0</v>
      </c>
      <c r="R321" s="47">
        <f t="shared" si="262"/>
        <v>186485450</v>
      </c>
      <c r="S321" s="79">
        <f t="shared" si="227"/>
        <v>85.858862799263349</v>
      </c>
      <c r="T321" s="79">
        <f t="shared" si="228"/>
        <v>0</v>
      </c>
      <c r="U321" s="79">
        <v>0</v>
      </c>
      <c r="V321" s="79">
        <f t="shared" si="229"/>
        <v>76.932941419141912</v>
      </c>
      <c r="W321" s="47">
        <f t="shared" si="226"/>
        <v>55914550</v>
      </c>
      <c r="X321" s="247">
        <f t="shared" si="234"/>
        <v>186485450</v>
      </c>
      <c r="Y321" s="247">
        <f t="shared" si="232"/>
        <v>0</v>
      </c>
      <c r="Z321" s="247">
        <f t="shared" si="233"/>
        <v>0</v>
      </c>
      <c r="AA321" s="93"/>
    </row>
    <row r="322" spans="1:41" s="13" customFormat="1" ht="18">
      <c r="A322" s="125" t="s">
        <v>284</v>
      </c>
      <c r="B322" s="111" t="s">
        <v>285</v>
      </c>
      <c r="C322" s="112">
        <f>C324</f>
        <v>866449041</v>
      </c>
      <c r="D322" s="112">
        <f>D324</f>
        <v>231000000</v>
      </c>
      <c r="E322" s="112">
        <f>E324</f>
        <v>140760000</v>
      </c>
      <c r="F322" s="112">
        <f t="shared" si="235"/>
        <v>1238209041</v>
      </c>
      <c r="G322" s="112">
        <f t="shared" ref="G322:H322" si="265">G324</f>
        <v>974647768</v>
      </c>
      <c r="H322" s="112">
        <f t="shared" si="265"/>
        <v>44253500</v>
      </c>
      <c r="I322" s="112">
        <f>I324</f>
        <v>12600000</v>
      </c>
      <c r="J322" s="112">
        <f t="shared" si="236"/>
        <v>1031501268</v>
      </c>
      <c r="K322" s="112">
        <f>K324</f>
        <v>0</v>
      </c>
      <c r="L322" s="112">
        <f t="shared" ref="L322" si="266">L324</f>
        <v>0</v>
      </c>
      <c r="M322" s="112">
        <f>M324</f>
        <v>0</v>
      </c>
      <c r="N322" s="112">
        <f t="shared" si="231"/>
        <v>0</v>
      </c>
      <c r="O322" s="112">
        <f t="shared" si="259"/>
        <v>974647768</v>
      </c>
      <c r="P322" s="112">
        <f t="shared" si="260"/>
        <v>44253500</v>
      </c>
      <c r="Q322" s="112">
        <f t="shared" si="261"/>
        <v>12600000</v>
      </c>
      <c r="R322" s="112">
        <f t="shared" si="262"/>
        <v>1031501268</v>
      </c>
      <c r="S322" s="115">
        <f t="shared" si="227"/>
        <v>112.48760421906914</v>
      </c>
      <c r="T322" s="115">
        <f t="shared" si="228"/>
        <v>19.157359307359307</v>
      </c>
      <c r="U322" s="115">
        <f>Q322/E322*100</f>
        <v>8.9514066496163682</v>
      </c>
      <c r="V322" s="115">
        <f t="shared" si="229"/>
        <v>83.305906663945933</v>
      </c>
      <c r="W322" s="112">
        <f t="shared" si="226"/>
        <v>206707773</v>
      </c>
      <c r="X322" s="247">
        <f t="shared" si="234"/>
        <v>974647768</v>
      </c>
      <c r="Y322" s="247">
        <f t="shared" si="232"/>
        <v>44253500</v>
      </c>
      <c r="Z322" s="247">
        <f t="shared" si="233"/>
        <v>12600000</v>
      </c>
      <c r="AA322" s="93"/>
    </row>
    <row r="323" spans="1:41" s="9" customFormat="1" ht="23.25" customHeight="1">
      <c r="A323" s="38" t="s">
        <v>286</v>
      </c>
      <c r="B323" s="61" t="s">
        <v>287</v>
      </c>
      <c r="C323" s="62">
        <f>C324</f>
        <v>866449041</v>
      </c>
      <c r="D323" s="62">
        <f>D324</f>
        <v>231000000</v>
      </c>
      <c r="E323" s="62">
        <f>E324</f>
        <v>140760000</v>
      </c>
      <c r="F323" s="62">
        <f t="shared" si="235"/>
        <v>1238209041</v>
      </c>
      <c r="G323" s="62">
        <f t="shared" ref="G323:I323" si="267">G324</f>
        <v>974647768</v>
      </c>
      <c r="H323" s="62">
        <f t="shared" si="267"/>
        <v>44253500</v>
      </c>
      <c r="I323" s="62">
        <f t="shared" si="267"/>
        <v>12600000</v>
      </c>
      <c r="J323" s="62">
        <f t="shared" si="236"/>
        <v>1031501268</v>
      </c>
      <c r="K323" s="62">
        <f>K324</f>
        <v>0</v>
      </c>
      <c r="L323" s="62">
        <f t="shared" ref="L323:M323" si="268">L324</f>
        <v>0</v>
      </c>
      <c r="M323" s="62">
        <f t="shared" si="268"/>
        <v>0</v>
      </c>
      <c r="N323" s="62">
        <f t="shared" si="231"/>
        <v>0</v>
      </c>
      <c r="O323" s="62">
        <f t="shared" si="259"/>
        <v>974647768</v>
      </c>
      <c r="P323" s="62">
        <f t="shared" si="260"/>
        <v>44253500</v>
      </c>
      <c r="Q323" s="62">
        <f t="shared" si="261"/>
        <v>12600000</v>
      </c>
      <c r="R323" s="62">
        <f t="shared" si="262"/>
        <v>1031501268</v>
      </c>
      <c r="S323" s="85">
        <f t="shared" si="227"/>
        <v>112.48760421906914</v>
      </c>
      <c r="T323" s="85">
        <f t="shared" si="228"/>
        <v>19.157359307359307</v>
      </c>
      <c r="U323" s="85">
        <f>Q323/E323*100</f>
        <v>8.9514066496163682</v>
      </c>
      <c r="V323" s="85">
        <f t="shared" si="229"/>
        <v>83.305906663945933</v>
      </c>
      <c r="W323" s="62">
        <f t="shared" si="226"/>
        <v>206707773</v>
      </c>
      <c r="X323" s="247">
        <f t="shared" si="234"/>
        <v>974647768</v>
      </c>
      <c r="Y323" s="247">
        <f t="shared" si="232"/>
        <v>44253500</v>
      </c>
      <c r="Z323" s="247">
        <f t="shared" si="233"/>
        <v>12600000</v>
      </c>
      <c r="AA323" s="93"/>
    </row>
    <row r="324" spans="1:41" s="5" customFormat="1">
      <c r="A324" s="59" t="s">
        <v>372</v>
      </c>
      <c r="B324" s="59" t="s">
        <v>288</v>
      </c>
      <c r="C324" s="126">
        <f>SUM(C325:C333)</f>
        <v>866449041</v>
      </c>
      <c r="D324" s="126">
        <f t="shared" ref="D324:L324" si="269">SUM(D325:D333)</f>
        <v>231000000</v>
      </c>
      <c r="E324" s="126">
        <f t="shared" si="269"/>
        <v>140760000</v>
      </c>
      <c r="F324" s="126">
        <f t="shared" si="235"/>
        <v>1238209041</v>
      </c>
      <c r="G324" s="126">
        <f t="shared" ref="G324:H324" si="270">SUM(G325:G333)</f>
        <v>974647768</v>
      </c>
      <c r="H324" s="126">
        <f t="shared" si="270"/>
        <v>44253500</v>
      </c>
      <c r="I324" s="126">
        <f>SUM(I325:I333)</f>
        <v>12600000</v>
      </c>
      <c r="J324" s="126">
        <f>G324+H324+I324</f>
        <v>1031501268</v>
      </c>
      <c r="K324" s="126">
        <f>SUM(K325:K333)</f>
        <v>0</v>
      </c>
      <c r="L324" s="126">
        <f t="shared" si="269"/>
        <v>0</v>
      </c>
      <c r="M324" s="126">
        <f>SUM(M325:M333)</f>
        <v>0</v>
      </c>
      <c r="N324" s="126">
        <f t="shared" si="231"/>
        <v>0</v>
      </c>
      <c r="O324" s="126">
        <f>K324+G324</f>
        <v>974647768</v>
      </c>
      <c r="P324" s="126">
        <f>L324+H324</f>
        <v>44253500</v>
      </c>
      <c r="Q324" s="126">
        <f>M324+I324</f>
        <v>12600000</v>
      </c>
      <c r="R324" s="126">
        <f>SUM(O324:Q324)</f>
        <v>1031501268</v>
      </c>
      <c r="S324" s="133">
        <f t="shared" si="227"/>
        <v>112.48760421906914</v>
      </c>
      <c r="T324" s="133">
        <f t="shared" si="228"/>
        <v>19.157359307359307</v>
      </c>
      <c r="U324" s="133">
        <f>Q324/E324*100</f>
        <v>8.9514066496163682</v>
      </c>
      <c r="V324" s="133">
        <f t="shared" si="229"/>
        <v>83.305906663945933</v>
      </c>
      <c r="W324" s="126">
        <f t="shared" si="226"/>
        <v>206707773</v>
      </c>
      <c r="X324" s="247">
        <f t="shared" si="234"/>
        <v>974647768</v>
      </c>
      <c r="Y324" s="247">
        <f t="shared" si="232"/>
        <v>44253500</v>
      </c>
      <c r="Z324" s="247">
        <f t="shared" si="233"/>
        <v>12600000</v>
      </c>
      <c r="AA324" s="93"/>
    </row>
    <row r="325" spans="1:41">
      <c r="A325" s="44" t="s">
        <v>123</v>
      </c>
      <c r="B325" s="45" t="s">
        <v>111</v>
      </c>
      <c r="C325" s="46">
        <v>10000000</v>
      </c>
      <c r="D325" s="46">
        <v>0</v>
      </c>
      <c r="E325" s="46">
        <v>0</v>
      </c>
      <c r="F325" s="46">
        <f t="shared" si="235"/>
        <v>10000000</v>
      </c>
      <c r="G325" s="47">
        <v>6416000</v>
      </c>
      <c r="H325" s="47">
        <v>0</v>
      </c>
      <c r="I325" s="47">
        <v>0</v>
      </c>
      <c r="J325" s="47">
        <f t="shared" si="236"/>
        <v>6416000</v>
      </c>
      <c r="K325" s="47"/>
      <c r="L325" s="47"/>
      <c r="M325" s="47"/>
      <c r="N325" s="47">
        <f>SUM(K325:M325)</f>
        <v>0</v>
      </c>
      <c r="O325" s="47">
        <f>K325+G325</f>
        <v>6416000</v>
      </c>
      <c r="P325" s="47">
        <f>L325+H325</f>
        <v>0</v>
      </c>
      <c r="Q325" s="47">
        <f t="shared" si="261"/>
        <v>0</v>
      </c>
      <c r="R325" s="47">
        <f>SUM(O325:Q325)</f>
        <v>6416000</v>
      </c>
      <c r="S325" s="79">
        <f>O325/C325*100</f>
        <v>64.16</v>
      </c>
      <c r="T325" s="79">
        <v>0</v>
      </c>
      <c r="U325" s="79">
        <v>0</v>
      </c>
      <c r="V325" s="79">
        <f>R325/F325*100</f>
        <v>64.16</v>
      </c>
      <c r="W325" s="47">
        <f>F325-R325</f>
        <v>3584000</v>
      </c>
      <c r="X325" s="247">
        <f t="shared" si="234"/>
        <v>6416000</v>
      </c>
      <c r="Y325" s="247">
        <f t="shared" si="232"/>
        <v>0</v>
      </c>
      <c r="Z325" s="247">
        <f t="shared" si="233"/>
        <v>0</v>
      </c>
      <c r="AA325" s="93"/>
    </row>
    <row r="326" spans="1:41">
      <c r="A326" s="44" t="s">
        <v>373</v>
      </c>
      <c r="B326" s="45" t="s">
        <v>374</v>
      </c>
      <c r="C326" s="46">
        <v>13611600</v>
      </c>
      <c r="D326" s="46">
        <v>0</v>
      </c>
      <c r="E326" s="46">
        <v>0</v>
      </c>
      <c r="F326" s="46">
        <f t="shared" si="235"/>
        <v>13611600</v>
      </c>
      <c r="G326" s="47">
        <v>11960000</v>
      </c>
      <c r="H326" s="47">
        <v>0</v>
      </c>
      <c r="I326" s="47">
        <v>0</v>
      </c>
      <c r="J326" s="47">
        <f t="shared" si="236"/>
        <v>11960000</v>
      </c>
      <c r="K326" s="47"/>
      <c r="L326" s="47"/>
      <c r="M326" s="47"/>
      <c r="N326" s="47">
        <f t="shared" si="231"/>
        <v>0</v>
      </c>
      <c r="O326" s="47">
        <f t="shared" si="259"/>
        <v>11960000</v>
      </c>
      <c r="P326" s="47">
        <f t="shared" si="260"/>
        <v>0</v>
      </c>
      <c r="Q326" s="47">
        <f t="shared" si="261"/>
        <v>0</v>
      </c>
      <c r="R326" s="47">
        <f t="shared" si="262"/>
        <v>11960000</v>
      </c>
      <c r="S326" s="79">
        <f t="shared" si="227"/>
        <v>87.866231743512884</v>
      </c>
      <c r="T326" s="79">
        <v>0</v>
      </c>
      <c r="U326" s="79">
        <v>0</v>
      </c>
      <c r="V326" s="79">
        <f t="shared" si="229"/>
        <v>87.866231743512884</v>
      </c>
      <c r="W326" s="47">
        <f t="shared" si="226"/>
        <v>1651600</v>
      </c>
      <c r="X326" s="247">
        <f t="shared" si="234"/>
        <v>11960000</v>
      </c>
      <c r="Y326" s="247">
        <f t="shared" si="232"/>
        <v>0</v>
      </c>
      <c r="Z326" s="247">
        <f t="shared" si="233"/>
        <v>0</v>
      </c>
      <c r="AA326" s="93"/>
    </row>
    <row r="327" spans="1:41">
      <c r="A327" s="44" t="s">
        <v>128</v>
      </c>
      <c r="B327" s="45" t="s">
        <v>113</v>
      </c>
      <c r="C327" s="46">
        <f>3538841+5154000</f>
        <v>8692841</v>
      </c>
      <c r="D327" s="46">
        <v>831000</v>
      </c>
      <c r="E327" s="46">
        <v>0</v>
      </c>
      <c r="F327" s="46">
        <f t="shared" si="235"/>
        <v>9523841</v>
      </c>
      <c r="G327" s="47">
        <v>5100000</v>
      </c>
      <c r="H327" s="47">
        <v>817500</v>
      </c>
      <c r="I327" s="47">
        <v>0</v>
      </c>
      <c r="J327" s="47">
        <f t="shared" si="236"/>
        <v>5917500</v>
      </c>
      <c r="K327" s="47"/>
      <c r="L327" s="47"/>
      <c r="M327" s="47"/>
      <c r="N327" s="47">
        <f>SUM(K327:M327)</f>
        <v>0</v>
      </c>
      <c r="O327" s="47">
        <f>K327+G327</f>
        <v>5100000</v>
      </c>
      <c r="P327" s="47">
        <f>L327+H327</f>
        <v>817500</v>
      </c>
      <c r="Q327" s="47">
        <f>M327+I327</f>
        <v>0</v>
      </c>
      <c r="R327" s="47">
        <f>SUM(O327:Q327)</f>
        <v>5917500</v>
      </c>
      <c r="S327" s="79">
        <f>O327/C327*100</f>
        <v>58.668966796930945</v>
      </c>
      <c r="T327" s="79">
        <f>P327/D327*100</f>
        <v>98.375451263537911</v>
      </c>
      <c r="U327" s="79">
        <v>0</v>
      </c>
      <c r="V327" s="79">
        <f>R327/F327*100</f>
        <v>62.133544648634931</v>
      </c>
      <c r="W327" s="47">
        <f>F327-R327</f>
        <v>3606341</v>
      </c>
      <c r="X327" s="247">
        <f t="shared" si="234"/>
        <v>5100000</v>
      </c>
      <c r="Y327" s="247">
        <f t="shared" si="232"/>
        <v>817500</v>
      </c>
      <c r="Z327" s="247">
        <f t="shared" si="233"/>
        <v>0</v>
      </c>
      <c r="AA327" s="93"/>
    </row>
    <row r="328" spans="1:41">
      <c r="A328" s="44" t="s">
        <v>227</v>
      </c>
      <c r="B328" s="45" t="s">
        <v>115</v>
      </c>
      <c r="C328" s="46">
        <v>15194600</v>
      </c>
      <c r="D328" s="46">
        <v>869000</v>
      </c>
      <c r="E328" s="46">
        <v>0</v>
      </c>
      <c r="F328" s="46">
        <f t="shared" si="235"/>
        <v>16063600</v>
      </c>
      <c r="G328" s="47">
        <v>10349000</v>
      </c>
      <c r="H328" s="47">
        <v>765000</v>
      </c>
      <c r="I328" s="47">
        <v>0</v>
      </c>
      <c r="J328" s="47">
        <f t="shared" si="236"/>
        <v>11114000</v>
      </c>
      <c r="K328" s="47"/>
      <c r="L328" s="47"/>
      <c r="M328" s="47"/>
      <c r="N328" s="47">
        <f>SUM(K328:M328)</f>
        <v>0</v>
      </c>
      <c r="O328" s="47">
        <f t="shared" si="259"/>
        <v>10349000</v>
      </c>
      <c r="P328" s="47">
        <f t="shared" si="260"/>
        <v>765000</v>
      </c>
      <c r="Q328" s="47">
        <f t="shared" si="261"/>
        <v>0</v>
      </c>
      <c r="R328" s="47">
        <f t="shared" si="262"/>
        <v>11114000</v>
      </c>
      <c r="S328" s="79">
        <f t="shared" si="227"/>
        <v>68.109723191133696</v>
      </c>
      <c r="T328" s="79">
        <f t="shared" si="228"/>
        <v>88.032220943613353</v>
      </c>
      <c r="U328" s="79">
        <v>0</v>
      </c>
      <c r="V328" s="79">
        <f t="shared" si="229"/>
        <v>69.187479767922511</v>
      </c>
      <c r="W328" s="47">
        <f t="shared" si="226"/>
        <v>4949600</v>
      </c>
      <c r="X328" s="247">
        <f t="shared" si="234"/>
        <v>10349000</v>
      </c>
      <c r="Y328" s="247">
        <f t="shared" si="232"/>
        <v>765000</v>
      </c>
      <c r="Z328" s="247">
        <f t="shared" si="233"/>
        <v>0</v>
      </c>
      <c r="AA328" s="93"/>
    </row>
    <row r="329" spans="1:41">
      <c r="A329" s="44" t="s">
        <v>118</v>
      </c>
      <c r="B329" s="45" t="s">
        <v>375</v>
      </c>
      <c r="C329" s="46">
        <v>55900000</v>
      </c>
      <c r="D329" s="46">
        <v>7800000</v>
      </c>
      <c r="E329" s="46">
        <v>0</v>
      </c>
      <c r="F329" s="46">
        <f t="shared" si="235"/>
        <v>63700000</v>
      </c>
      <c r="G329" s="47">
        <v>63699718</v>
      </c>
      <c r="H329" s="47">
        <v>0</v>
      </c>
      <c r="I329" s="47">
        <v>0</v>
      </c>
      <c r="J329" s="47">
        <f t="shared" si="236"/>
        <v>63699718</v>
      </c>
      <c r="K329" s="47"/>
      <c r="L329" s="47"/>
      <c r="M329" s="47"/>
      <c r="N329" s="47">
        <f>SUM(K329:M329)</f>
        <v>0</v>
      </c>
      <c r="O329" s="47">
        <f>K329+G329</f>
        <v>63699718</v>
      </c>
      <c r="P329" s="47">
        <f>L329+H329</f>
        <v>0</v>
      </c>
      <c r="Q329" s="47">
        <f>M329+I329</f>
        <v>0</v>
      </c>
      <c r="R329" s="47">
        <f>SUM(O329:Q329)</f>
        <v>63699718</v>
      </c>
      <c r="S329" s="79">
        <f>O329/C329*100</f>
        <v>113.95298389982112</v>
      </c>
      <c r="T329" s="79">
        <f>P329/D329*100</f>
        <v>0</v>
      </c>
      <c r="U329" s="79">
        <v>0</v>
      </c>
      <c r="V329" s="79">
        <f>R329/F329*100</f>
        <v>99.999557299843005</v>
      </c>
      <c r="W329" s="47">
        <f>F329-R329</f>
        <v>282</v>
      </c>
      <c r="X329" s="247">
        <f t="shared" si="234"/>
        <v>63699718</v>
      </c>
      <c r="Y329" s="247">
        <f t="shared" si="232"/>
        <v>0</v>
      </c>
      <c r="Z329" s="247">
        <f t="shared" si="233"/>
        <v>0</v>
      </c>
      <c r="AA329" s="93"/>
    </row>
    <row r="330" spans="1:41">
      <c r="A330" s="44" t="s">
        <v>124</v>
      </c>
      <c r="B330" s="45" t="s">
        <v>125</v>
      </c>
      <c r="C330" s="46">
        <v>342050000</v>
      </c>
      <c r="D330" s="46">
        <v>22500000</v>
      </c>
      <c r="E330" s="46">
        <v>54360000</v>
      </c>
      <c r="F330" s="46">
        <f t="shared" si="235"/>
        <v>418910000</v>
      </c>
      <c r="G330" s="47">
        <v>334650000</v>
      </c>
      <c r="H330" s="47">
        <v>0</v>
      </c>
      <c r="I330" s="47">
        <v>0</v>
      </c>
      <c r="J330" s="47">
        <f t="shared" si="236"/>
        <v>334650000</v>
      </c>
      <c r="K330" s="47"/>
      <c r="L330" s="47"/>
      <c r="M330" s="47"/>
      <c r="N330" s="47">
        <f t="shared" si="231"/>
        <v>0</v>
      </c>
      <c r="O330" s="47">
        <f t="shared" si="259"/>
        <v>334650000</v>
      </c>
      <c r="P330" s="47">
        <f t="shared" si="260"/>
        <v>0</v>
      </c>
      <c r="Q330" s="47">
        <f t="shared" si="261"/>
        <v>0</v>
      </c>
      <c r="R330" s="47">
        <f t="shared" si="262"/>
        <v>334650000</v>
      </c>
      <c r="S330" s="79">
        <f t="shared" si="227"/>
        <v>97.836573600350832</v>
      </c>
      <c r="T330" s="79">
        <f t="shared" si="228"/>
        <v>0</v>
      </c>
      <c r="U330" s="79">
        <f>Q330/E330*100</f>
        <v>0</v>
      </c>
      <c r="V330" s="79">
        <f t="shared" si="229"/>
        <v>79.885894344847344</v>
      </c>
      <c r="W330" s="47">
        <f t="shared" si="226"/>
        <v>84260000</v>
      </c>
      <c r="X330" s="247">
        <f t="shared" si="234"/>
        <v>334650000</v>
      </c>
      <c r="Y330" s="247">
        <f t="shared" si="232"/>
        <v>0</v>
      </c>
      <c r="Z330" s="247">
        <f t="shared" si="233"/>
        <v>0</v>
      </c>
      <c r="AA330" s="93"/>
    </row>
    <row r="331" spans="1:41">
      <c r="A331" s="44" t="s">
        <v>137</v>
      </c>
      <c r="B331" s="45" t="s">
        <v>138</v>
      </c>
      <c r="C331" s="46">
        <v>133000000</v>
      </c>
      <c r="D331" s="46">
        <v>10600000</v>
      </c>
      <c r="E331" s="46">
        <v>42600000</v>
      </c>
      <c r="F331" s="46">
        <f t="shared" si="235"/>
        <v>186200000</v>
      </c>
      <c r="G331" s="47">
        <v>150800000</v>
      </c>
      <c r="H331" s="47">
        <v>0</v>
      </c>
      <c r="I331" s="47">
        <v>0</v>
      </c>
      <c r="J331" s="47">
        <f t="shared" si="236"/>
        <v>150800000</v>
      </c>
      <c r="K331" s="47"/>
      <c r="L331" s="47"/>
      <c r="M331" s="47"/>
      <c r="N331" s="47">
        <f t="shared" si="231"/>
        <v>0</v>
      </c>
      <c r="O331" s="47">
        <f t="shared" si="259"/>
        <v>150800000</v>
      </c>
      <c r="P331" s="47">
        <f t="shared" si="260"/>
        <v>0</v>
      </c>
      <c r="Q331" s="47">
        <f t="shared" si="261"/>
        <v>0</v>
      </c>
      <c r="R331" s="47">
        <f t="shared" si="262"/>
        <v>150800000</v>
      </c>
      <c r="S331" s="79">
        <f t="shared" si="227"/>
        <v>113.38345864661655</v>
      </c>
      <c r="T331" s="79">
        <f t="shared" si="228"/>
        <v>0</v>
      </c>
      <c r="U331" s="79">
        <f>Q331/E331*100</f>
        <v>0</v>
      </c>
      <c r="V331" s="79">
        <f t="shared" si="229"/>
        <v>80.988184747583247</v>
      </c>
      <c r="W331" s="47">
        <f t="shared" si="226"/>
        <v>35400000</v>
      </c>
      <c r="X331" s="247">
        <f t="shared" si="234"/>
        <v>150800000</v>
      </c>
      <c r="Y331" s="247">
        <f t="shared" si="232"/>
        <v>0</v>
      </c>
      <c r="Z331" s="247">
        <f t="shared" si="233"/>
        <v>0</v>
      </c>
      <c r="AA331" s="93"/>
    </row>
    <row r="332" spans="1:41">
      <c r="A332" s="44" t="s">
        <v>100</v>
      </c>
      <c r="B332" s="45" t="s">
        <v>101</v>
      </c>
      <c r="C332" s="46">
        <v>261000000</v>
      </c>
      <c r="D332" s="46">
        <v>188400000</v>
      </c>
      <c r="E332" s="46">
        <v>16800000</v>
      </c>
      <c r="F332" s="46">
        <f t="shared" si="235"/>
        <v>466200000</v>
      </c>
      <c r="G332" s="47">
        <v>358373050</v>
      </c>
      <c r="H332" s="47">
        <v>42671000</v>
      </c>
      <c r="I332" s="47">
        <v>0</v>
      </c>
      <c r="J332" s="47">
        <f t="shared" si="236"/>
        <v>401044050</v>
      </c>
      <c r="K332" s="47"/>
      <c r="L332" s="47"/>
      <c r="M332" s="47"/>
      <c r="N332" s="47">
        <f t="shared" si="231"/>
        <v>0</v>
      </c>
      <c r="O332" s="47">
        <f t="shared" si="259"/>
        <v>358373050</v>
      </c>
      <c r="P332" s="47">
        <f t="shared" si="260"/>
        <v>42671000</v>
      </c>
      <c r="Q332" s="47">
        <f t="shared" si="261"/>
        <v>0</v>
      </c>
      <c r="R332" s="47">
        <f t="shared" si="262"/>
        <v>401044050</v>
      </c>
      <c r="S332" s="79">
        <f t="shared" si="227"/>
        <v>137.30768199233717</v>
      </c>
      <c r="T332" s="79">
        <f t="shared" si="228"/>
        <v>22.649150743099788</v>
      </c>
      <c r="U332" s="79">
        <f>Q332/E332*100</f>
        <v>0</v>
      </c>
      <c r="V332" s="79">
        <f t="shared" si="229"/>
        <v>86.024034749034755</v>
      </c>
      <c r="W332" s="47">
        <f t="shared" si="226"/>
        <v>65155950</v>
      </c>
      <c r="X332" s="247">
        <f t="shared" si="234"/>
        <v>358373050</v>
      </c>
      <c r="Y332" s="247">
        <f t="shared" si="232"/>
        <v>42671000</v>
      </c>
      <c r="Z332" s="247">
        <f t="shared" si="233"/>
        <v>0</v>
      </c>
      <c r="AA332" s="93"/>
    </row>
    <row r="333" spans="1:41">
      <c r="A333" s="44" t="s">
        <v>254</v>
      </c>
      <c r="B333" s="45" t="s">
        <v>255</v>
      </c>
      <c r="C333" s="46">
        <v>27000000</v>
      </c>
      <c r="D333" s="46">
        <v>0</v>
      </c>
      <c r="E333" s="46">
        <v>27000000</v>
      </c>
      <c r="F333" s="46">
        <f t="shared" si="235"/>
        <v>54000000</v>
      </c>
      <c r="G333" s="47">
        <v>33300000</v>
      </c>
      <c r="H333" s="47">
        <v>0</v>
      </c>
      <c r="I333" s="47">
        <v>12600000</v>
      </c>
      <c r="J333" s="47">
        <f t="shared" si="236"/>
        <v>45900000</v>
      </c>
      <c r="K333" s="47"/>
      <c r="L333" s="47"/>
      <c r="M333" s="47"/>
      <c r="N333" s="47">
        <f t="shared" si="231"/>
        <v>0</v>
      </c>
      <c r="O333" s="47">
        <f t="shared" si="259"/>
        <v>33300000</v>
      </c>
      <c r="P333" s="47">
        <f t="shared" si="260"/>
        <v>0</v>
      </c>
      <c r="Q333" s="47">
        <f t="shared" si="261"/>
        <v>12600000</v>
      </c>
      <c r="R333" s="47">
        <f t="shared" si="262"/>
        <v>45900000</v>
      </c>
      <c r="S333" s="79">
        <f t="shared" si="227"/>
        <v>123.33333333333334</v>
      </c>
      <c r="T333" s="79">
        <v>0</v>
      </c>
      <c r="U333" s="79">
        <f>Q333/E333*100</f>
        <v>46.666666666666664</v>
      </c>
      <c r="V333" s="79">
        <f t="shared" si="229"/>
        <v>85</v>
      </c>
      <c r="W333" s="47">
        <f t="shared" si="226"/>
        <v>8100000</v>
      </c>
      <c r="X333" s="247">
        <f t="shared" si="234"/>
        <v>33300000</v>
      </c>
      <c r="Y333" s="247">
        <f t="shared" si="232"/>
        <v>0</v>
      </c>
      <c r="Z333" s="247">
        <f t="shared" si="233"/>
        <v>12600000</v>
      </c>
      <c r="AA333" s="93"/>
    </row>
    <row r="334" spans="1:41" s="10" customFormat="1" ht="18">
      <c r="A334" s="56"/>
      <c r="B334" s="134" t="s">
        <v>22</v>
      </c>
      <c r="C334" s="116">
        <f>C335</f>
        <v>6922837685</v>
      </c>
      <c r="D334" s="116">
        <f>D335</f>
        <v>496541600</v>
      </c>
      <c r="E334" s="116">
        <f>E335</f>
        <v>0</v>
      </c>
      <c r="F334" s="116">
        <f t="shared" si="235"/>
        <v>7419379285</v>
      </c>
      <c r="G334" s="116">
        <f t="shared" ref="G334:I334" si="271">G335</f>
        <v>1945318676</v>
      </c>
      <c r="H334" s="116">
        <f t="shared" si="271"/>
        <v>72405970</v>
      </c>
      <c r="I334" s="116">
        <f t="shared" si="271"/>
        <v>0</v>
      </c>
      <c r="J334" s="116">
        <f t="shared" si="236"/>
        <v>2017724646</v>
      </c>
      <c r="K334" s="116">
        <f t="shared" ref="K334:M334" si="272">K335</f>
        <v>0</v>
      </c>
      <c r="L334" s="116">
        <f t="shared" si="272"/>
        <v>0</v>
      </c>
      <c r="M334" s="116">
        <f t="shared" si="272"/>
        <v>0</v>
      </c>
      <c r="N334" s="116">
        <f t="shared" si="231"/>
        <v>0</v>
      </c>
      <c r="O334" s="116">
        <f t="shared" si="259"/>
        <v>1945318676</v>
      </c>
      <c r="P334" s="116">
        <f t="shared" si="260"/>
        <v>72405970</v>
      </c>
      <c r="Q334" s="116">
        <f t="shared" si="261"/>
        <v>0</v>
      </c>
      <c r="R334" s="116">
        <f t="shared" si="262"/>
        <v>2017724646</v>
      </c>
      <c r="S334" s="127">
        <f t="shared" si="227"/>
        <v>28.100018583636633</v>
      </c>
      <c r="T334" s="127">
        <f t="shared" si="228"/>
        <v>14.582055159124632</v>
      </c>
      <c r="U334" s="127">
        <v>0</v>
      </c>
      <c r="V334" s="127">
        <f t="shared" si="229"/>
        <v>27.195329534901919</v>
      </c>
      <c r="W334" s="116">
        <f t="shared" si="226"/>
        <v>5401654639</v>
      </c>
      <c r="X334" s="247">
        <f t="shared" si="234"/>
        <v>1945318676</v>
      </c>
      <c r="Y334" s="247">
        <f t="shared" si="232"/>
        <v>72405970</v>
      </c>
      <c r="Z334" s="247">
        <f t="shared" si="233"/>
        <v>0</v>
      </c>
      <c r="AA334" s="93"/>
    </row>
    <row r="335" spans="1:41" s="11" customFormat="1" ht="18">
      <c r="A335" s="35" t="s">
        <v>246</v>
      </c>
      <c r="B335" s="111" t="s">
        <v>247</v>
      </c>
      <c r="C335" s="117">
        <f>C336+C353</f>
        <v>6922837685</v>
      </c>
      <c r="D335" s="117">
        <f>D336+D353</f>
        <v>496541600</v>
      </c>
      <c r="E335" s="117">
        <f>E336+E353</f>
        <v>0</v>
      </c>
      <c r="F335" s="117">
        <f t="shared" si="235"/>
        <v>7419379285</v>
      </c>
      <c r="G335" s="117">
        <f t="shared" ref="G335:I335" si="273">G336+G353</f>
        <v>1945318676</v>
      </c>
      <c r="H335" s="117">
        <f t="shared" si="273"/>
        <v>72405970</v>
      </c>
      <c r="I335" s="117">
        <f t="shared" si="273"/>
        <v>0</v>
      </c>
      <c r="J335" s="117">
        <f t="shared" si="236"/>
        <v>2017724646</v>
      </c>
      <c r="K335" s="117">
        <f t="shared" ref="K335:M335" si="274">K336+K353</f>
        <v>0</v>
      </c>
      <c r="L335" s="117">
        <f t="shared" si="274"/>
        <v>0</v>
      </c>
      <c r="M335" s="117">
        <f t="shared" si="274"/>
        <v>0</v>
      </c>
      <c r="N335" s="117">
        <f t="shared" si="231"/>
        <v>0</v>
      </c>
      <c r="O335" s="117">
        <f t="shared" si="259"/>
        <v>1945318676</v>
      </c>
      <c r="P335" s="117">
        <f t="shared" si="260"/>
        <v>72405970</v>
      </c>
      <c r="Q335" s="117">
        <f t="shared" si="261"/>
        <v>0</v>
      </c>
      <c r="R335" s="117">
        <f t="shared" si="262"/>
        <v>2017724646</v>
      </c>
      <c r="S335" s="128">
        <f t="shared" si="227"/>
        <v>28.100018583636633</v>
      </c>
      <c r="T335" s="128">
        <f t="shared" si="228"/>
        <v>14.582055159124632</v>
      </c>
      <c r="U335" s="128">
        <v>0</v>
      </c>
      <c r="V335" s="128">
        <f t="shared" si="229"/>
        <v>27.195329534901919</v>
      </c>
      <c r="W335" s="117">
        <f t="shared" si="226"/>
        <v>5401654639</v>
      </c>
      <c r="X335" s="247">
        <f t="shared" si="234"/>
        <v>1945318676</v>
      </c>
      <c r="Y335" s="247">
        <f t="shared" si="232"/>
        <v>72405970</v>
      </c>
      <c r="Z335" s="247">
        <f t="shared" si="233"/>
        <v>0</v>
      </c>
      <c r="AA335" s="93"/>
    </row>
    <row r="336" spans="1:41" s="12" customFormat="1" ht="19.5" customHeight="1">
      <c r="A336" s="38" t="s">
        <v>256</v>
      </c>
      <c r="B336" s="39" t="s">
        <v>257</v>
      </c>
      <c r="C336" s="118">
        <f>C337</f>
        <v>1301702885</v>
      </c>
      <c r="D336" s="118">
        <f>D337</f>
        <v>137733300</v>
      </c>
      <c r="E336" s="118">
        <f>E337</f>
        <v>0</v>
      </c>
      <c r="F336" s="118">
        <f t="shared" si="235"/>
        <v>1439436185</v>
      </c>
      <c r="G336" s="118">
        <f t="shared" ref="G336:I336" si="275">G337</f>
        <v>506993008</v>
      </c>
      <c r="H336" s="118">
        <f t="shared" si="275"/>
        <v>22717000</v>
      </c>
      <c r="I336" s="118">
        <f t="shared" si="275"/>
        <v>0</v>
      </c>
      <c r="J336" s="118">
        <f t="shared" si="236"/>
        <v>529710008</v>
      </c>
      <c r="K336" s="118">
        <f t="shared" ref="K336:M336" si="276">K337</f>
        <v>0</v>
      </c>
      <c r="L336" s="118">
        <f t="shared" si="276"/>
        <v>0</v>
      </c>
      <c r="M336" s="118">
        <f t="shared" si="276"/>
        <v>0</v>
      </c>
      <c r="N336" s="118">
        <f t="shared" si="231"/>
        <v>0</v>
      </c>
      <c r="O336" s="118">
        <f t="shared" si="259"/>
        <v>506993008</v>
      </c>
      <c r="P336" s="118">
        <f t="shared" si="260"/>
        <v>22717000</v>
      </c>
      <c r="Q336" s="118">
        <f t="shared" si="261"/>
        <v>0</v>
      </c>
      <c r="R336" s="118">
        <f t="shared" si="262"/>
        <v>529710008</v>
      </c>
      <c r="S336" s="129">
        <f t="shared" si="227"/>
        <v>38.948443138773555</v>
      </c>
      <c r="T336" s="129">
        <f t="shared" si="228"/>
        <v>16.493469625718689</v>
      </c>
      <c r="U336" s="129">
        <v>0</v>
      </c>
      <c r="V336" s="129">
        <f t="shared" si="229"/>
        <v>36.799825759555986</v>
      </c>
      <c r="W336" s="118">
        <f t="shared" si="226"/>
        <v>909726177</v>
      </c>
      <c r="X336" s="247">
        <f t="shared" si="234"/>
        <v>506993008</v>
      </c>
      <c r="Y336" s="247">
        <f t="shared" si="232"/>
        <v>22717000</v>
      </c>
      <c r="Z336" s="247">
        <f t="shared" si="233"/>
        <v>0</v>
      </c>
      <c r="AA336" s="93"/>
      <c r="AB336" s="141"/>
      <c r="AC336" s="141"/>
      <c r="AD336" s="141"/>
      <c r="AE336" s="141"/>
      <c r="AF336" s="141"/>
      <c r="AG336" s="141"/>
      <c r="AH336" s="141"/>
      <c r="AI336" s="141"/>
      <c r="AJ336" s="141"/>
      <c r="AK336" s="141"/>
      <c r="AL336" s="141"/>
      <c r="AM336" s="141"/>
      <c r="AN336" s="141"/>
      <c r="AO336" s="141"/>
    </row>
    <row r="337" spans="1:27" s="5" customFormat="1">
      <c r="A337" s="59" t="s">
        <v>289</v>
      </c>
      <c r="B337" s="59" t="s">
        <v>290</v>
      </c>
      <c r="C337" s="110">
        <f>SUM(C338:C352)</f>
        <v>1301702885</v>
      </c>
      <c r="D337" s="110">
        <f>SUM(D338:D352)</f>
        <v>137733300</v>
      </c>
      <c r="E337" s="110">
        <f>SUM(E338:E352)</f>
        <v>0</v>
      </c>
      <c r="F337" s="110">
        <f t="shared" si="235"/>
        <v>1439436185</v>
      </c>
      <c r="G337" s="110">
        <f t="shared" ref="G337:I337" si="277">SUM(G338:G352)</f>
        <v>506993008</v>
      </c>
      <c r="H337" s="110">
        <f t="shared" si="277"/>
        <v>22717000</v>
      </c>
      <c r="I337" s="110">
        <f t="shared" si="277"/>
        <v>0</v>
      </c>
      <c r="J337" s="110">
        <f t="shared" si="236"/>
        <v>529710008</v>
      </c>
      <c r="K337" s="110">
        <f t="shared" ref="K337:M337" si="278">SUM(K338:K352)</f>
        <v>0</v>
      </c>
      <c r="L337" s="110">
        <f t="shared" si="278"/>
        <v>0</v>
      </c>
      <c r="M337" s="110">
        <f t="shared" si="278"/>
        <v>0</v>
      </c>
      <c r="N337" s="110">
        <f t="shared" si="231"/>
        <v>0</v>
      </c>
      <c r="O337" s="110">
        <f t="shared" si="259"/>
        <v>506993008</v>
      </c>
      <c r="P337" s="110">
        <f t="shared" si="260"/>
        <v>22717000</v>
      </c>
      <c r="Q337" s="110">
        <f t="shared" si="261"/>
        <v>0</v>
      </c>
      <c r="R337" s="110">
        <f t="shared" si="262"/>
        <v>529710008</v>
      </c>
      <c r="S337" s="114">
        <f t="shared" si="227"/>
        <v>38.948443138773555</v>
      </c>
      <c r="T337" s="114">
        <f t="shared" si="228"/>
        <v>16.493469625718689</v>
      </c>
      <c r="U337" s="114">
        <v>0</v>
      </c>
      <c r="V337" s="114">
        <f t="shared" si="229"/>
        <v>36.799825759555986</v>
      </c>
      <c r="W337" s="110">
        <f t="shared" si="226"/>
        <v>909726177</v>
      </c>
      <c r="X337" s="247">
        <f t="shared" si="234"/>
        <v>506993008</v>
      </c>
      <c r="Y337" s="247">
        <f t="shared" si="232"/>
        <v>22717000</v>
      </c>
      <c r="Z337" s="247">
        <f t="shared" si="233"/>
        <v>0</v>
      </c>
      <c r="AA337" s="93"/>
    </row>
    <row r="338" spans="1:27">
      <c r="A338" s="44" t="s">
        <v>291</v>
      </c>
      <c r="B338" s="45" t="s">
        <v>292</v>
      </c>
      <c r="C338" s="46">
        <v>721500</v>
      </c>
      <c r="D338" s="46">
        <v>0</v>
      </c>
      <c r="E338" s="46">
        <v>0</v>
      </c>
      <c r="F338" s="46">
        <f t="shared" si="235"/>
        <v>721500</v>
      </c>
      <c r="G338" s="48">
        <v>703500</v>
      </c>
      <c r="H338" s="47">
        <v>0</v>
      </c>
      <c r="I338" s="47">
        <v>0</v>
      </c>
      <c r="J338" s="47">
        <f t="shared" si="236"/>
        <v>703500</v>
      </c>
      <c r="K338" s="47"/>
      <c r="L338" s="47"/>
      <c r="M338" s="47"/>
      <c r="N338" s="47">
        <f t="shared" si="231"/>
        <v>0</v>
      </c>
      <c r="O338" s="47">
        <f t="shared" si="259"/>
        <v>703500</v>
      </c>
      <c r="P338" s="47">
        <f t="shared" si="260"/>
        <v>0</v>
      </c>
      <c r="Q338" s="47">
        <f t="shared" si="261"/>
        <v>0</v>
      </c>
      <c r="R338" s="47">
        <f t="shared" si="262"/>
        <v>703500</v>
      </c>
      <c r="S338" s="79">
        <f t="shared" si="227"/>
        <v>97.505197505197501</v>
      </c>
      <c r="T338" s="79">
        <v>0</v>
      </c>
      <c r="U338" s="79">
        <v>0</v>
      </c>
      <c r="V338" s="79">
        <f t="shared" si="229"/>
        <v>97.505197505197501</v>
      </c>
      <c r="W338" s="47">
        <f t="shared" si="226"/>
        <v>18000</v>
      </c>
      <c r="X338" s="247">
        <f t="shared" si="234"/>
        <v>703500</v>
      </c>
      <c r="Y338" s="247">
        <f t="shared" si="232"/>
        <v>0</v>
      </c>
      <c r="Z338" s="247">
        <f t="shared" si="233"/>
        <v>0</v>
      </c>
      <c r="AA338" s="93"/>
    </row>
    <row r="339" spans="1:27">
      <c r="A339" s="44" t="s">
        <v>293</v>
      </c>
      <c r="B339" s="45" t="s">
        <v>294</v>
      </c>
      <c r="C339" s="46">
        <v>1166010</v>
      </c>
      <c r="D339" s="46">
        <v>0</v>
      </c>
      <c r="E339" s="46">
        <v>0</v>
      </c>
      <c r="F339" s="46">
        <f t="shared" si="235"/>
        <v>1166010</v>
      </c>
      <c r="G339" s="48">
        <v>690000</v>
      </c>
      <c r="H339" s="47">
        <v>0</v>
      </c>
      <c r="I339" s="47">
        <v>0</v>
      </c>
      <c r="J339" s="47">
        <f t="shared" si="236"/>
        <v>690000</v>
      </c>
      <c r="K339" s="47"/>
      <c r="L339" s="47"/>
      <c r="M339" s="47"/>
      <c r="N339" s="47">
        <f t="shared" si="231"/>
        <v>0</v>
      </c>
      <c r="O339" s="47">
        <f t="shared" si="259"/>
        <v>690000</v>
      </c>
      <c r="P339" s="47">
        <f t="shared" si="260"/>
        <v>0</v>
      </c>
      <c r="Q339" s="47">
        <f t="shared" si="261"/>
        <v>0</v>
      </c>
      <c r="R339" s="47">
        <f t="shared" si="262"/>
        <v>690000</v>
      </c>
      <c r="S339" s="79">
        <f t="shared" si="227"/>
        <v>59.176164869941083</v>
      </c>
      <c r="T339" s="79">
        <v>0</v>
      </c>
      <c r="U339" s="79">
        <v>0</v>
      </c>
      <c r="V339" s="79">
        <f t="shared" si="229"/>
        <v>59.176164869941083</v>
      </c>
      <c r="W339" s="47">
        <f t="shared" ref="W339:W402" si="279">F339-R339</f>
        <v>476010</v>
      </c>
      <c r="X339" s="247">
        <f t="shared" si="234"/>
        <v>690000</v>
      </c>
      <c r="Y339" s="247">
        <f t="shared" si="232"/>
        <v>0</v>
      </c>
      <c r="Z339" s="247">
        <f t="shared" si="233"/>
        <v>0</v>
      </c>
      <c r="AA339" s="93"/>
    </row>
    <row r="340" spans="1:27">
      <c r="A340" s="44" t="s">
        <v>123</v>
      </c>
      <c r="B340" s="45" t="s">
        <v>111</v>
      </c>
      <c r="C340" s="95">
        <v>20000000</v>
      </c>
      <c r="D340" s="95">
        <v>5000000</v>
      </c>
      <c r="E340" s="46">
        <v>0</v>
      </c>
      <c r="F340" s="95">
        <f t="shared" si="235"/>
        <v>25000000</v>
      </c>
      <c r="G340" s="121">
        <v>15940000</v>
      </c>
      <c r="H340" s="63">
        <v>0</v>
      </c>
      <c r="I340" s="63">
        <v>0</v>
      </c>
      <c r="J340" s="63">
        <f t="shared" ref="J340:J403" si="280">G340+H340+I340</f>
        <v>15940000</v>
      </c>
      <c r="K340" s="47"/>
      <c r="L340" s="47"/>
      <c r="M340" s="47"/>
      <c r="N340" s="63">
        <f t="shared" si="231"/>
        <v>0</v>
      </c>
      <c r="O340" s="47">
        <f t="shared" si="259"/>
        <v>15940000</v>
      </c>
      <c r="P340" s="63">
        <f t="shared" si="260"/>
        <v>0</v>
      </c>
      <c r="Q340" s="63">
        <f t="shared" si="261"/>
        <v>0</v>
      </c>
      <c r="R340" s="63">
        <f t="shared" si="262"/>
        <v>15940000</v>
      </c>
      <c r="S340" s="130">
        <f t="shared" ref="S340:S403" si="281">O340/C340*100</f>
        <v>79.7</v>
      </c>
      <c r="T340" s="130">
        <f>P340/D340*100</f>
        <v>0</v>
      </c>
      <c r="U340" s="130">
        <v>0</v>
      </c>
      <c r="V340" s="130">
        <f t="shared" ref="V340:V403" si="282">R340/F340*100</f>
        <v>63.759999999999991</v>
      </c>
      <c r="W340" s="63">
        <f t="shared" si="279"/>
        <v>9060000</v>
      </c>
      <c r="X340" s="247">
        <f t="shared" si="234"/>
        <v>15940000</v>
      </c>
      <c r="Y340" s="247">
        <f t="shared" si="232"/>
        <v>0</v>
      </c>
      <c r="Z340" s="247">
        <f t="shared" si="233"/>
        <v>0</v>
      </c>
      <c r="AA340" s="93"/>
    </row>
    <row r="341" spans="1:27">
      <c r="A341" s="44" t="s">
        <v>128</v>
      </c>
      <c r="B341" s="45" t="s">
        <v>113</v>
      </c>
      <c r="C341" s="95">
        <v>48247375</v>
      </c>
      <c r="D341" s="95">
        <v>4573300</v>
      </c>
      <c r="E341" s="46">
        <v>0</v>
      </c>
      <c r="F341" s="95">
        <f t="shared" si="235"/>
        <v>52820675</v>
      </c>
      <c r="G341" s="121">
        <v>28921718</v>
      </c>
      <c r="H341" s="63">
        <v>1187000</v>
      </c>
      <c r="I341" s="63">
        <v>0</v>
      </c>
      <c r="J341" s="63">
        <f t="shared" si="280"/>
        <v>30108718</v>
      </c>
      <c r="K341" s="47"/>
      <c r="L341" s="47"/>
      <c r="M341" s="47"/>
      <c r="N341" s="63">
        <f t="shared" ref="N341:N404" si="283">SUM(K341:M341)</f>
        <v>0</v>
      </c>
      <c r="O341" s="47">
        <f t="shared" si="259"/>
        <v>28921718</v>
      </c>
      <c r="P341" s="63">
        <f t="shared" si="260"/>
        <v>1187000</v>
      </c>
      <c r="Q341" s="63">
        <f t="shared" si="261"/>
        <v>0</v>
      </c>
      <c r="R341" s="63">
        <f t="shared" si="262"/>
        <v>30108718</v>
      </c>
      <c r="S341" s="130">
        <f t="shared" si="281"/>
        <v>59.944645693159472</v>
      </c>
      <c r="T341" s="130">
        <f>P341/D341*100</f>
        <v>25.954999672009272</v>
      </c>
      <c r="U341" s="130">
        <v>0</v>
      </c>
      <c r="V341" s="130">
        <f t="shared" si="282"/>
        <v>57.001766827099431</v>
      </c>
      <c r="W341" s="63">
        <f t="shared" si="279"/>
        <v>22711957</v>
      </c>
      <c r="X341" s="247">
        <f t="shared" si="234"/>
        <v>28921718</v>
      </c>
      <c r="Y341" s="247">
        <f t="shared" si="232"/>
        <v>1187000</v>
      </c>
      <c r="Z341" s="247">
        <f t="shared" si="233"/>
        <v>0</v>
      </c>
      <c r="AA341" s="93"/>
    </row>
    <row r="342" spans="1:27" ht="17.25" customHeight="1">
      <c r="A342" s="44" t="s">
        <v>231</v>
      </c>
      <c r="B342" s="45" t="s">
        <v>119</v>
      </c>
      <c r="C342" s="46">
        <v>3000000</v>
      </c>
      <c r="D342" s="46">
        <v>0</v>
      </c>
      <c r="E342" s="46">
        <v>0</v>
      </c>
      <c r="F342" s="46">
        <f t="shared" si="235"/>
        <v>3000000</v>
      </c>
      <c r="G342" s="48">
        <v>0</v>
      </c>
      <c r="H342" s="47">
        <v>0</v>
      </c>
      <c r="I342" s="47">
        <v>0</v>
      </c>
      <c r="J342" s="47">
        <f t="shared" si="280"/>
        <v>0</v>
      </c>
      <c r="K342" s="47"/>
      <c r="L342" s="47"/>
      <c r="M342" s="47"/>
      <c r="N342" s="47">
        <f t="shared" si="283"/>
        <v>0</v>
      </c>
      <c r="O342" s="47">
        <f t="shared" si="259"/>
        <v>0</v>
      </c>
      <c r="P342" s="47">
        <f t="shared" si="260"/>
        <v>0</v>
      </c>
      <c r="Q342" s="47">
        <f t="shared" si="261"/>
        <v>0</v>
      </c>
      <c r="R342" s="47">
        <f t="shared" si="262"/>
        <v>0</v>
      </c>
      <c r="S342" s="79">
        <f t="shared" si="281"/>
        <v>0</v>
      </c>
      <c r="T342" s="79">
        <v>0</v>
      </c>
      <c r="U342" s="79">
        <v>0</v>
      </c>
      <c r="V342" s="79">
        <f t="shared" si="282"/>
        <v>0</v>
      </c>
      <c r="W342" s="47">
        <f t="shared" si="279"/>
        <v>3000000</v>
      </c>
      <c r="X342" s="247">
        <f t="shared" si="234"/>
        <v>0</v>
      </c>
      <c r="Y342" s="247">
        <f t="shared" si="232"/>
        <v>0</v>
      </c>
      <c r="Z342" s="247">
        <f t="shared" si="233"/>
        <v>0</v>
      </c>
      <c r="AA342" s="93"/>
    </row>
    <row r="343" spans="1:27">
      <c r="A343" s="44" t="s">
        <v>296</v>
      </c>
      <c r="B343" s="45" t="s">
        <v>297</v>
      </c>
      <c r="C343" s="95">
        <v>13795000</v>
      </c>
      <c r="D343" s="95">
        <v>0</v>
      </c>
      <c r="E343" s="46">
        <v>0</v>
      </c>
      <c r="F343" s="95">
        <f t="shared" si="235"/>
        <v>13795000</v>
      </c>
      <c r="G343" s="121">
        <v>12531000</v>
      </c>
      <c r="H343" s="63">
        <v>0</v>
      </c>
      <c r="I343" s="63">
        <v>0</v>
      </c>
      <c r="J343" s="63">
        <f t="shared" si="280"/>
        <v>12531000</v>
      </c>
      <c r="K343" s="47"/>
      <c r="L343" s="47"/>
      <c r="M343" s="47"/>
      <c r="N343" s="63">
        <f t="shared" si="283"/>
        <v>0</v>
      </c>
      <c r="O343" s="47">
        <f t="shared" si="259"/>
        <v>12531000</v>
      </c>
      <c r="P343" s="63">
        <f t="shared" si="260"/>
        <v>0</v>
      </c>
      <c r="Q343" s="63">
        <f t="shared" si="261"/>
        <v>0</v>
      </c>
      <c r="R343" s="63">
        <f t="shared" si="262"/>
        <v>12531000</v>
      </c>
      <c r="S343" s="130">
        <f t="shared" si="281"/>
        <v>90.837259876766936</v>
      </c>
      <c r="T343" s="79">
        <v>0</v>
      </c>
      <c r="U343" s="130">
        <v>0</v>
      </c>
      <c r="V343" s="130">
        <f t="shared" si="282"/>
        <v>90.837259876766936</v>
      </c>
      <c r="W343" s="63">
        <f t="shared" si="279"/>
        <v>1264000</v>
      </c>
      <c r="X343" s="247">
        <f t="shared" si="234"/>
        <v>12531000</v>
      </c>
      <c r="Y343" s="247">
        <f t="shared" si="232"/>
        <v>0</v>
      </c>
      <c r="Z343" s="247">
        <f t="shared" si="233"/>
        <v>0</v>
      </c>
      <c r="AA343" s="93"/>
    </row>
    <row r="344" spans="1:27">
      <c r="A344" s="44" t="s">
        <v>124</v>
      </c>
      <c r="B344" s="45" t="s">
        <v>125</v>
      </c>
      <c r="C344" s="95">
        <v>64468000</v>
      </c>
      <c r="D344" s="95">
        <v>3640000</v>
      </c>
      <c r="E344" s="46">
        <v>0</v>
      </c>
      <c r="F344" s="95">
        <f t="shared" si="235"/>
        <v>68108000</v>
      </c>
      <c r="G344" s="121">
        <v>46348000</v>
      </c>
      <c r="H344" s="63">
        <v>3640000</v>
      </c>
      <c r="I344" s="63">
        <v>0</v>
      </c>
      <c r="J344" s="63">
        <f t="shared" si="280"/>
        <v>49988000</v>
      </c>
      <c r="K344" s="47"/>
      <c r="L344" s="47"/>
      <c r="M344" s="47"/>
      <c r="N344" s="63">
        <f t="shared" si="283"/>
        <v>0</v>
      </c>
      <c r="O344" s="47">
        <f t="shared" si="259"/>
        <v>46348000</v>
      </c>
      <c r="P344" s="63">
        <f t="shared" si="260"/>
        <v>3640000</v>
      </c>
      <c r="Q344" s="63">
        <f t="shared" si="261"/>
        <v>0</v>
      </c>
      <c r="R344" s="63">
        <f t="shared" si="262"/>
        <v>49988000</v>
      </c>
      <c r="S344" s="130">
        <f t="shared" si="281"/>
        <v>71.893032202022709</v>
      </c>
      <c r="T344" s="130">
        <f>P344/D344*100</f>
        <v>100</v>
      </c>
      <c r="U344" s="130">
        <v>0</v>
      </c>
      <c r="V344" s="130">
        <f t="shared" si="282"/>
        <v>73.395195865390264</v>
      </c>
      <c r="W344" s="63">
        <f t="shared" si="279"/>
        <v>18120000</v>
      </c>
      <c r="X344" s="247">
        <f t="shared" si="234"/>
        <v>46348000</v>
      </c>
      <c r="Y344" s="247">
        <f t="shared" ref="Y344:Y407" si="284">H344+L344</f>
        <v>3640000</v>
      </c>
      <c r="Z344" s="247">
        <f t="shared" ref="Z344:Z407" si="285">I344+M344</f>
        <v>0</v>
      </c>
      <c r="AA344" s="93"/>
    </row>
    <row r="345" spans="1:27">
      <c r="A345" s="44" t="s">
        <v>137</v>
      </c>
      <c r="B345" s="45" t="s">
        <v>138</v>
      </c>
      <c r="C345" s="95">
        <v>36600000</v>
      </c>
      <c r="D345" s="95">
        <v>14100000</v>
      </c>
      <c r="E345" s="46">
        <v>0</v>
      </c>
      <c r="F345" s="95">
        <f t="shared" si="235"/>
        <v>50700000</v>
      </c>
      <c r="G345" s="121">
        <v>20000000</v>
      </c>
      <c r="H345" s="63">
        <v>12800000</v>
      </c>
      <c r="I345" s="63">
        <v>0</v>
      </c>
      <c r="J345" s="63">
        <f t="shared" si="280"/>
        <v>32800000</v>
      </c>
      <c r="K345" s="47"/>
      <c r="L345" s="47"/>
      <c r="M345" s="47"/>
      <c r="N345" s="63">
        <f t="shared" si="283"/>
        <v>0</v>
      </c>
      <c r="O345" s="47">
        <f t="shared" si="259"/>
        <v>20000000</v>
      </c>
      <c r="P345" s="63">
        <f t="shared" si="260"/>
        <v>12800000</v>
      </c>
      <c r="Q345" s="63">
        <f t="shared" si="261"/>
        <v>0</v>
      </c>
      <c r="R345" s="63">
        <f t="shared" si="262"/>
        <v>32800000</v>
      </c>
      <c r="S345" s="130">
        <f t="shared" si="281"/>
        <v>54.644808743169406</v>
      </c>
      <c r="T345" s="130">
        <f>P345/D345*100</f>
        <v>90.780141843971634</v>
      </c>
      <c r="U345" s="130">
        <v>0</v>
      </c>
      <c r="V345" s="130">
        <f t="shared" si="282"/>
        <v>64.69428007889546</v>
      </c>
      <c r="W345" s="63">
        <f t="shared" si="279"/>
        <v>17900000</v>
      </c>
      <c r="X345" s="247">
        <f t="shared" ref="X345:X408" si="286">G345+K345</f>
        <v>20000000</v>
      </c>
      <c r="Y345" s="247">
        <f t="shared" si="284"/>
        <v>12800000</v>
      </c>
      <c r="Z345" s="247">
        <f t="shared" si="285"/>
        <v>0</v>
      </c>
      <c r="AA345" s="93"/>
    </row>
    <row r="346" spans="1:27" ht="33">
      <c r="A346" s="44" t="s">
        <v>298</v>
      </c>
      <c r="B346" s="45" t="s">
        <v>299</v>
      </c>
      <c r="C346" s="46">
        <v>17520000</v>
      </c>
      <c r="D346" s="46">
        <v>0</v>
      </c>
      <c r="E346" s="46">
        <v>0</v>
      </c>
      <c r="F346" s="46">
        <f t="shared" si="235"/>
        <v>17520000</v>
      </c>
      <c r="G346" s="48">
        <v>7300000</v>
      </c>
      <c r="H346" s="47">
        <v>0</v>
      </c>
      <c r="I346" s="47">
        <v>0</v>
      </c>
      <c r="J346" s="47">
        <f t="shared" si="280"/>
        <v>7300000</v>
      </c>
      <c r="K346" s="47"/>
      <c r="L346" s="47"/>
      <c r="M346" s="47"/>
      <c r="N346" s="47">
        <f t="shared" si="283"/>
        <v>0</v>
      </c>
      <c r="O346" s="47">
        <f t="shared" si="259"/>
        <v>7300000</v>
      </c>
      <c r="P346" s="47">
        <f t="shared" si="260"/>
        <v>0</v>
      </c>
      <c r="Q346" s="47">
        <f t="shared" si="261"/>
        <v>0</v>
      </c>
      <c r="R346" s="47">
        <f t="shared" si="262"/>
        <v>7300000</v>
      </c>
      <c r="S346" s="79">
        <f t="shared" si="281"/>
        <v>41.666666666666671</v>
      </c>
      <c r="T346" s="79">
        <v>0</v>
      </c>
      <c r="U346" s="79">
        <v>0</v>
      </c>
      <c r="V346" s="79">
        <f t="shared" si="282"/>
        <v>41.666666666666671</v>
      </c>
      <c r="W346" s="47">
        <f t="shared" si="279"/>
        <v>10220000</v>
      </c>
      <c r="X346" s="247">
        <f t="shared" si="286"/>
        <v>7300000</v>
      </c>
      <c r="Y346" s="247">
        <f t="shared" si="284"/>
        <v>0</v>
      </c>
      <c r="Z346" s="247">
        <f t="shared" si="285"/>
        <v>0</v>
      </c>
      <c r="AA346" s="93"/>
    </row>
    <row r="347" spans="1:27">
      <c r="A347" s="44" t="s">
        <v>300</v>
      </c>
      <c r="B347" s="45" t="s">
        <v>301</v>
      </c>
      <c r="C347" s="46">
        <v>47520000</v>
      </c>
      <c r="D347" s="46">
        <v>0</v>
      </c>
      <c r="E347" s="46">
        <v>0</v>
      </c>
      <c r="F347" s="46">
        <f t="shared" ref="F347:F410" si="287">C347+D347+E347</f>
        <v>47520000</v>
      </c>
      <c r="G347" s="48">
        <v>28820000</v>
      </c>
      <c r="H347" s="47">
        <v>0</v>
      </c>
      <c r="I347" s="47">
        <v>0</v>
      </c>
      <c r="J347" s="47">
        <f t="shared" si="280"/>
        <v>28820000</v>
      </c>
      <c r="K347" s="47"/>
      <c r="L347" s="47"/>
      <c r="M347" s="47"/>
      <c r="N347" s="47">
        <f t="shared" si="283"/>
        <v>0</v>
      </c>
      <c r="O347" s="47">
        <f t="shared" si="259"/>
        <v>28820000</v>
      </c>
      <c r="P347" s="47">
        <f t="shared" si="260"/>
        <v>0</v>
      </c>
      <c r="Q347" s="47">
        <f t="shared" si="261"/>
        <v>0</v>
      </c>
      <c r="R347" s="47">
        <f t="shared" si="262"/>
        <v>28820000</v>
      </c>
      <c r="S347" s="79">
        <f t="shared" si="281"/>
        <v>60.648148148148152</v>
      </c>
      <c r="T347" s="79">
        <v>0</v>
      </c>
      <c r="U347" s="79">
        <v>0</v>
      </c>
      <c r="V347" s="79">
        <f t="shared" si="282"/>
        <v>60.648148148148152</v>
      </c>
      <c r="W347" s="47">
        <f t="shared" si="279"/>
        <v>18700000</v>
      </c>
      <c r="X347" s="247">
        <f t="shared" si="286"/>
        <v>28820000</v>
      </c>
      <c r="Y347" s="247">
        <f t="shared" si="284"/>
        <v>0</v>
      </c>
      <c r="Z347" s="247">
        <f t="shared" si="285"/>
        <v>0</v>
      </c>
      <c r="AA347" s="93"/>
    </row>
    <row r="348" spans="1:27">
      <c r="A348" s="44" t="s">
        <v>100</v>
      </c>
      <c r="B348" s="45" t="s">
        <v>101</v>
      </c>
      <c r="C348" s="95">
        <v>281300000</v>
      </c>
      <c r="D348" s="95">
        <v>107480000</v>
      </c>
      <c r="E348" s="95">
        <v>0</v>
      </c>
      <c r="F348" s="95">
        <f t="shared" si="287"/>
        <v>388780000</v>
      </c>
      <c r="G348" s="63">
        <v>257051415</v>
      </c>
      <c r="H348" s="63">
        <v>5090000</v>
      </c>
      <c r="I348" s="63">
        <v>0</v>
      </c>
      <c r="J348" s="63">
        <f t="shared" si="280"/>
        <v>262141415</v>
      </c>
      <c r="K348" s="47"/>
      <c r="L348" s="47"/>
      <c r="M348" s="47"/>
      <c r="N348" s="63">
        <f t="shared" si="283"/>
        <v>0</v>
      </c>
      <c r="O348" s="47">
        <f t="shared" si="259"/>
        <v>257051415</v>
      </c>
      <c r="P348" s="63">
        <f t="shared" si="260"/>
        <v>5090000</v>
      </c>
      <c r="Q348" s="63">
        <f t="shared" si="261"/>
        <v>0</v>
      </c>
      <c r="R348" s="63">
        <f t="shared" si="262"/>
        <v>262141415</v>
      </c>
      <c r="S348" s="130">
        <f t="shared" si="281"/>
        <v>91.379813366512622</v>
      </c>
      <c r="T348" s="130">
        <f>P348/D348*100</f>
        <v>4.7357647934499436</v>
      </c>
      <c r="U348" s="130">
        <v>0</v>
      </c>
      <c r="V348" s="130">
        <f t="shared" si="282"/>
        <v>67.426671896702501</v>
      </c>
      <c r="W348" s="63">
        <f t="shared" si="279"/>
        <v>126638585</v>
      </c>
      <c r="X348" s="247">
        <f t="shared" si="286"/>
        <v>257051415</v>
      </c>
      <c r="Y348" s="247">
        <f t="shared" si="284"/>
        <v>5090000</v>
      </c>
      <c r="Z348" s="247">
        <f t="shared" si="285"/>
        <v>0</v>
      </c>
      <c r="AA348" s="93"/>
    </row>
    <row r="349" spans="1:27">
      <c r="A349" s="44" t="s">
        <v>252</v>
      </c>
      <c r="B349" s="45" t="s">
        <v>253</v>
      </c>
      <c r="C349" s="95">
        <v>9300000</v>
      </c>
      <c r="D349" s="95">
        <v>2940000</v>
      </c>
      <c r="E349" s="95">
        <v>0</v>
      </c>
      <c r="F349" s="95">
        <f t="shared" si="287"/>
        <v>12240000</v>
      </c>
      <c r="G349" s="121">
        <v>11400000</v>
      </c>
      <c r="H349" s="63">
        <v>0</v>
      </c>
      <c r="I349" s="63">
        <v>0</v>
      </c>
      <c r="J349" s="63">
        <f t="shared" si="280"/>
        <v>11400000</v>
      </c>
      <c r="K349" s="63"/>
      <c r="L349" s="47"/>
      <c r="M349" s="47"/>
      <c r="N349" s="63">
        <f t="shared" si="283"/>
        <v>0</v>
      </c>
      <c r="O349" s="47">
        <f t="shared" si="259"/>
        <v>11400000</v>
      </c>
      <c r="P349" s="63">
        <f t="shared" si="260"/>
        <v>0</v>
      </c>
      <c r="Q349" s="63">
        <f t="shared" si="261"/>
        <v>0</v>
      </c>
      <c r="R349" s="63">
        <f t="shared" si="262"/>
        <v>11400000</v>
      </c>
      <c r="S349" s="130">
        <f t="shared" si="281"/>
        <v>122.58064516129032</v>
      </c>
      <c r="T349" s="130">
        <f>P349/D349*100</f>
        <v>0</v>
      </c>
      <c r="U349" s="130">
        <v>0</v>
      </c>
      <c r="V349" s="130">
        <f t="shared" si="282"/>
        <v>93.137254901960787</v>
      </c>
      <c r="W349" s="63">
        <f t="shared" si="279"/>
        <v>840000</v>
      </c>
      <c r="X349" s="247">
        <f t="shared" si="286"/>
        <v>11400000</v>
      </c>
      <c r="Y349" s="247">
        <f t="shared" si="284"/>
        <v>0</v>
      </c>
      <c r="Z349" s="247">
        <f t="shared" si="285"/>
        <v>0</v>
      </c>
      <c r="AA349" s="93"/>
    </row>
    <row r="350" spans="1:27">
      <c r="A350" s="44" t="s">
        <v>378</v>
      </c>
      <c r="B350" s="45" t="s">
        <v>154</v>
      </c>
      <c r="C350" s="46">
        <v>124000000</v>
      </c>
      <c r="D350" s="46">
        <v>0</v>
      </c>
      <c r="E350" s="46">
        <v>0</v>
      </c>
      <c r="F350" s="46">
        <f t="shared" si="287"/>
        <v>124000000</v>
      </c>
      <c r="G350" s="48">
        <v>0</v>
      </c>
      <c r="H350" s="47">
        <v>0</v>
      </c>
      <c r="I350" s="47">
        <v>0</v>
      </c>
      <c r="J350" s="47">
        <f t="shared" si="280"/>
        <v>0</v>
      </c>
      <c r="K350" s="47"/>
      <c r="L350" s="47"/>
      <c r="M350" s="47"/>
      <c r="N350" s="47">
        <f t="shared" si="283"/>
        <v>0</v>
      </c>
      <c r="O350" s="47">
        <f t="shared" si="259"/>
        <v>0</v>
      </c>
      <c r="P350" s="47">
        <f t="shared" si="260"/>
        <v>0</v>
      </c>
      <c r="Q350" s="47">
        <f t="shared" si="261"/>
        <v>0</v>
      </c>
      <c r="R350" s="47">
        <f t="shared" si="262"/>
        <v>0</v>
      </c>
      <c r="S350" s="79">
        <f t="shared" si="281"/>
        <v>0</v>
      </c>
      <c r="T350" s="79">
        <v>0</v>
      </c>
      <c r="U350" s="79">
        <v>0</v>
      </c>
      <c r="V350" s="79">
        <f t="shared" si="282"/>
        <v>0</v>
      </c>
      <c r="W350" s="47">
        <f t="shared" si="279"/>
        <v>124000000</v>
      </c>
      <c r="X350" s="247">
        <f t="shared" si="286"/>
        <v>0</v>
      </c>
      <c r="Y350" s="247">
        <f t="shared" si="284"/>
        <v>0</v>
      </c>
      <c r="Z350" s="247">
        <f t="shared" si="285"/>
        <v>0</v>
      </c>
      <c r="AA350" s="93"/>
    </row>
    <row r="351" spans="1:27">
      <c r="A351" s="44" t="s">
        <v>379</v>
      </c>
      <c r="B351" s="45" t="s">
        <v>380</v>
      </c>
      <c r="C351" s="46">
        <v>11397800</v>
      </c>
      <c r="D351" s="46">
        <v>0</v>
      </c>
      <c r="E351" s="46">
        <v>0</v>
      </c>
      <c r="F351" s="46">
        <f t="shared" si="287"/>
        <v>11397800</v>
      </c>
      <c r="G351" s="48">
        <v>11395000</v>
      </c>
      <c r="H351" s="47">
        <v>0</v>
      </c>
      <c r="I351" s="47">
        <v>0</v>
      </c>
      <c r="J351" s="47">
        <f t="shared" si="280"/>
        <v>11395000</v>
      </c>
      <c r="K351" s="47"/>
      <c r="L351" s="47"/>
      <c r="M351" s="47"/>
      <c r="N351" s="47">
        <f t="shared" si="283"/>
        <v>0</v>
      </c>
      <c r="O351" s="47">
        <f t="shared" si="259"/>
        <v>11395000</v>
      </c>
      <c r="P351" s="47">
        <f t="shared" si="260"/>
        <v>0</v>
      </c>
      <c r="Q351" s="47">
        <f t="shared" si="261"/>
        <v>0</v>
      </c>
      <c r="R351" s="47">
        <f t="shared" si="262"/>
        <v>11395000</v>
      </c>
      <c r="S351" s="79">
        <f t="shared" si="281"/>
        <v>99.975433855656362</v>
      </c>
      <c r="T351" s="79">
        <v>0</v>
      </c>
      <c r="U351" s="79">
        <v>0</v>
      </c>
      <c r="V351" s="79">
        <f t="shared" si="282"/>
        <v>99.975433855656362</v>
      </c>
      <c r="W351" s="47">
        <f t="shared" si="279"/>
        <v>2800</v>
      </c>
      <c r="X351" s="247">
        <f t="shared" si="286"/>
        <v>11395000</v>
      </c>
      <c r="Y351" s="247">
        <f t="shared" si="284"/>
        <v>0</v>
      </c>
      <c r="Z351" s="247">
        <f t="shared" si="285"/>
        <v>0</v>
      </c>
      <c r="AA351" s="93"/>
    </row>
    <row r="352" spans="1:27">
      <c r="A352" s="44" t="s">
        <v>381</v>
      </c>
      <c r="B352" s="45" t="s">
        <v>212</v>
      </c>
      <c r="C352" s="46">
        <v>622667200</v>
      </c>
      <c r="D352" s="46">
        <v>0</v>
      </c>
      <c r="E352" s="46">
        <v>0</v>
      </c>
      <c r="F352" s="46">
        <f t="shared" si="287"/>
        <v>622667200</v>
      </c>
      <c r="G352" s="48">
        <v>65892375</v>
      </c>
      <c r="H352" s="47">
        <v>0</v>
      </c>
      <c r="I352" s="47">
        <v>0</v>
      </c>
      <c r="J352" s="47">
        <f t="shared" si="280"/>
        <v>65892375</v>
      </c>
      <c r="K352" s="47"/>
      <c r="L352" s="47"/>
      <c r="M352" s="47"/>
      <c r="N352" s="47">
        <f t="shared" si="283"/>
        <v>0</v>
      </c>
      <c r="O352" s="47">
        <f t="shared" si="259"/>
        <v>65892375</v>
      </c>
      <c r="P352" s="47">
        <f t="shared" si="260"/>
        <v>0</v>
      </c>
      <c r="Q352" s="47">
        <f t="shared" si="261"/>
        <v>0</v>
      </c>
      <c r="R352" s="47">
        <f t="shared" si="262"/>
        <v>65892375</v>
      </c>
      <c r="S352" s="79">
        <f t="shared" si="281"/>
        <v>10.582278141517651</v>
      </c>
      <c r="T352" s="79">
        <v>0</v>
      </c>
      <c r="U352" s="79">
        <v>0</v>
      </c>
      <c r="V352" s="79">
        <f t="shared" si="282"/>
        <v>10.582278141517651</v>
      </c>
      <c r="W352" s="47">
        <f t="shared" si="279"/>
        <v>556774825</v>
      </c>
      <c r="X352" s="247">
        <f t="shared" si="286"/>
        <v>65892375</v>
      </c>
      <c r="Y352" s="247">
        <f t="shared" si="284"/>
        <v>0</v>
      </c>
      <c r="Z352" s="247">
        <f t="shared" si="285"/>
        <v>0</v>
      </c>
      <c r="AA352" s="93"/>
    </row>
    <row r="353" spans="1:27" s="9" customFormat="1" ht="19.5" customHeight="1">
      <c r="A353" s="38" t="s">
        <v>260</v>
      </c>
      <c r="B353" s="61" t="s">
        <v>303</v>
      </c>
      <c r="C353" s="62">
        <f t="shared" ref="C353:E353" si="288">C354</f>
        <v>5621134800</v>
      </c>
      <c r="D353" s="62">
        <f t="shared" si="288"/>
        <v>358808300</v>
      </c>
      <c r="E353" s="62">
        <f t="shared" si="288"/>
        <v>0</v>
      </c>
      <c r="F353" s="62">
        <f t="shared" si="287"/>
        <v>5979943100</v>
      </c>
      <c r="G353" s="62">
        <f t="shared" ref="G353:H353" si="289">G354</f>
        <v>1438325668</v>
      </c>
      <c r="H353" s="62">
        <f t="shared" si="289"/>
        <v>49688970</v>
      </c>
      <c r="I353" s="62">
        <f>I354</f>
        <v>0</v>
      </c>
      <c r="J353" s="62">
        <f t="shared" si="280"/>
        <v>1488014638</v>
      </c>
      <c r="K353" s="62">
        <f>K354</f>
        <v>0</v>
      </c>
      <c r="L353" s="62">
        <f>L354</f>
        <v>0</v>
      </c>
      <c r="M353" s="62">
        <f>M354</f>
        <v>0</v>
      </c>
      <c r="N353" s="62">
        <f t="shared" si="283"/>
        <v>0</v>
      </c>
      <c r="O353" s="62">
        <f t="shared" si="259"/>
        <v>1438325668</v>
      </c>
      <c r="P353" s="62">
        <f t="shared" si="260"/>
        <v>49688970</v>
      </c>
      <c r="Q353" s="62">
        <f t="shared" si="261"/>
        <v>0</v>
      </c>
      <c r="R353" s="62">
        <f t="shared" si="262"/>
        <v>1488014638</v>
      </c>
      <c r="S353" s="85">
        <f t="shared" si="281"/>
        <v>25.587816680717211</v>
      </c>
      <c r="T353" s="85">
        <f>P353/D353*100</f>
        <v>13.84833349730204</v>
      </c>
      <c r="U353" s="85">
        <v>0</v>
      </c>
      <c r="V353" s="85">
        <f t="shared" si="282"/>
        <v>24.883424693455694</v>
      </c>
      <c r="W353" s="62">
        <f t="shared" si="279"/>
        <v>4491928462</v>
      </c>
      <c r="X353" s="247">
        <f t="shared" si="286"/>
        <v>1438325668</v>
      </c>
      <c r="Y353" s="247">
        <f t="shared" si="284"/>
        <v>49688970</v>
      </c>
      <c r="Z353" s="247">
        <f t="shared" si="285"/>
        <v>0</v>
      </c>
      <c r="AA353" s="93"/>
    </row>
    <row r="354" spans="1:27" s="5" customFormat="1">
      <c r="A354" s="59" t="s">
        <v>383</v>
      </c>
      <c r="B354" s="59" t="s">
        <v>384</v>
      </c>
      <c r="C354" s="110">
        <f>SUM(C355:C387)</f>
        <v>5621134800</v>
      </c>
      <c r="D354" s="110">
        <f>SUM(D355:D387)</f>
        <v>358808300</v>
      </c>
      <c r="E354" s="110">
        <f>SUM(E355:E387)</f>
        <v>0</v>
      </c>
      <c r="F354" s="110">
        <f t="shared" si="287"/>
        <v>5979943100</v>
      </c>
      <c r="G354" s="110">
        <f t="shared" ref="G354:I354" si="290">SUM(G355:G387)</f>
        <v>1438325668</v>
      </c>
      <c r="H354" s="110">
        <f t="shared" si="290"/>
        <v>49688970</v>
      </c>
      <c r="I354" s="110">
        <f t="shared" si="290"/>
        <v>0</v>
      </c>
      <c r="J354" s="110">
        <f t="shared" si="280"/>
        <v>1488014638</v>
      </c>
      <c r="K354" s="110">
        <f t="shared" ref="K354:M354" si="291">SUM(K355:K387)</f>
        <v>0</v>
      </c>
      <c r="L354" s="110">
        <f t="shared" si="291"/>
        <v>0</v>
      </c>
      <c r="M354" s="110">
        <f t="shared" si="291"/>
        <v>0</v>
      </c>
      <c r="N354" s="110">
        <f t="shared" si="283"/>
        <v>0</v>
      </c>
      <c r="O354" s="110">
        <f t="shared" si="259"/>
        <v>1438325668</v>
      </c>
      <c r="P354" s="110">
        <f t="shared" si="260"/>
        <v>49688970</v>
      </c>
      <c r="Q354" s="110">
        <f t="shared" si="261"/>
        <v>0</v>
      </c>
      <c r="R354" s="110">
        <f t="shared" si="262"/>
        <v>1488014638</v>
      </c>
      <c r="S354" s="114">
        <f t="shared" si="281"/>
        <v>25.587816680717211</v>
      </c>
      <c r="T354" s="114">
        <f>P354/D354*100</f>
        <v>13.84833349730204</v>
      </c>
      <c r="U354" s="114">
        <v>0</v>
      </c>
      <c r="V354" s="114">
        <f t="shared" si="282"/>
        <v>24.883424693455694</v>
      </c>
      <c r="W354" s="110">
        <f t="shared" si="279"/>
        <v>4491928462</v>
      </c>
      <c r="X354" s="247">
        <f t="shared" si="286"/>
        <v>1438325668</v>
      </c>
      <c r="Y354" s="247">
        <f t="shared" si="284"/>
        <v>49688970</v>
      </c>
      <c r="Z354" s="247">
        <f t="shared" si="285"/>
        <v>0</v>
      </c>
      <c r="AA354" s="93"/>
    </row>
    <row r="355" spans="1:27">
      <c r="A355" s="44" t="s">
        <v>385</v>
      </c>
      <c r="B355" s="45" t="s">
        <v>386</v>
      </c>
      <c r="C355" s="95">
        <v>3180000</v>
      </c>
      <c r="D355" s="95">
        <v>0</v>
      </c>
      <c r="E355" s="95">
        <v>0</v>
      </c>
      <c r="F355" s="95">
        <f t="shared" si="287"/>
        <v>3180000</v>
      </c>
      <c r="G355" s="121">
        <v>3163500</v>
      </c>
      <c r="H355" s="63">
        <v>0</v>
      </c>
      <c r="I355" s="63">
        <v>0</v>
      </c>
      <c r="J355" s="63">
        <f t="shared" si="280"/>
        <v>3163500</v>
      </c>
      <c r="K355" s="63"/>
      <c r="L355" s="63"/>
      <c r="M355" s="63"/>
      <c r="N355" s="63">
        <f t="shared" si="283"/>
        <v>0</v>
      </c>
      <c r="O355" s="47">
        <f t="shared" si="259"/>
        <v>3163500</v>
      </c>
      <c r="P355" s="63">
        <f t="shared" si="260"/>
        <v>0</v>
      </c>
      <c r="Q355" s="63">
        <f t="shared" si="261"/>
        <v>0</v>
      </c>
      <c r="R355" s="63">
        <f t="shared" si="262"/>
        <v>3163500</v>
      </c>
      <c r="S355" s="130">
        <f t="shared" si="281"/>
        <v>99.481132075471706</v>
      </c>
      <c r="T355" s="79">
        <v>0</v>
      </c>
      <c r="U355" s="130">
        <v>0</v>
      </c>
      <c r="V355" s="130">
        <f t="shared" si="282"/>
        <v>99.481132075471706</v>
      </c>
      <c r="W355" s="63">
        <f t="shared" si="279"/>
        <v>16500</v>
      </c>
      <c r="X355" s="247">
        <f t="shared" si="286"/>
        <v>3163500</v>
      </c>
      <c r="Y355" s="247">
        <f t="shared" si="284"/>
        <v>0</v>
      </c>
      <c r="Z355" s="247">
        <f t="shared" si="285"/>
        <v>0</v>
      </c>
      <c r="AA355" s="93"/>
    </row>
    <row r="356" spans="1:27">
      <c r="A356" s="44" t="s">
        <v>387</v>
      </c>
      <c r="B356" s="45" t="s">
        <v>388</v>
      </c>
      <c r="C356" s="95">
        <v>34167800</v>
      </c>
      <c r="D356" s="95">
        <v>0</v>
      </c>
      <c r="E356" s="95">
        <v>0</v>
      </c>
      <c r="F356" s="95">
        <f t="shared" si="287"/>
        <v>34167800</v>
      </c>
      <c r="G356" s="121">
        <v>34159584</v>
      </c>
      <c r="H356" s="63">
        <v>0</v>
      </c>
      <c r="I356" s="63">
        <v>0</v>
      </c>
      <c r="J356" s="63">
        <f t="shared" si="280"/>
        <v>34159584</v>
      </c>
      <c r="K356" s="63"/>
      <c r="L356" s="63"/>
      <c r="M356" s="63"/>
      <c r="N356" s="63">
        <f t="shared" si="283"/>
        <v>0</v>
      </c>
      <c r="O356" s="47">
        <f t="shared" si="259"/>
        <v>34159584</v>
      </c>
      <c r="P356" s="63">
        <f t="shared" si="260"/>
        <v>0</v>
      </c>
      <c r="Q356" s="63">
        <f t="shared" si="261"/>
        <v>0</v>
      </c>
      <c r="R356" s="63">
        <f t="shared" si="262"/>
        <v>34159584</v>
      </c>
      <c r="S356" s="130">
        <f t="shared" si="281"/>
        <v>99.975953968356166</v>
      </c>
      <c r="T356" s="79">
        <v>0</v>
      </c>
      <c r="U356" s="130">
        <v>0</v>
      </c>
      <c r="V356" s="130">
        <f t="shared" si="282"/>
        <v>99.975953968356166</v>
      </c>
      <c r="W356" s="63">
        <f t="shared" si="279"/>
        <v>8216</v>
      </c>
      <c r="X356" s="247">
        <f t="shared" si="286"/>
        <v>34159584</v>
      </c>
      <c r="Y356" s="247">
        <f t="shared" si="284"/>
        <v>0</v>
      </c>
      <c r="Z356" s="247">
        <f t="shared" si="285"/>
        <v>0</v>
      </c>
      <c r="AA356" s="93"/>
    </row>
    <row r="357" spans="1:27">
      <c r="A357" s="44" t="s">
        <v>389</v>
      </c>
      <c r="B357" s="45" t="s">
        <v>390</v>
      </c>
      <c r="C357" s="95">
        <v>20908068</v>
      </c>
      <c r="D357" s="95">
        <v>0</v>
      </c>
      <c r="E357" s="95">
        <v>0</v>
      </c>
      <c r="F357" s="95">
        <f t="shared" si="287"/>
        <v>20908068</v>
      </c>
      <c r="G357" s="121">
        <v>20756620</v>
      </c>
      <c r="H357" s="63">
        <v>0</v>
      </c>
      <c r="I357" s="63">
        <v>0</v>
      </c>
      <c r="J357" s="63">
        <f t="shared" si="280"/>
        <v>20756620</v>
      </c>
      <c r="K357" s="63"/>
      <c r="L357" s="63"/>
      <c r="M357" s="63"/>
      <c r="N357" s="63">
        <f t="shared" si="283"/>
        <v>0</v>
      </c>
      <c r="O357" s="47">
        <f t="shared" si="259"/>
        <v>20756620</v>
      </c>
      <c r="P357" s="63">
        <f t="shared" si="260"/>
        <v>0</v>
      </c>
      <c r="Q357" s="63">
        <f t="shared" si="261"/>
        <v>0</v>
      </c>
      <c r="R357" s="63">
        <f t="shared" si="262"/>
        <v>20756620</v>
      </c>
      <c r="S357" s="130">
        <f t="shared" si="281"/>
        <v>99.27564804170332</v>
      </c>
      <c r="T357" s="79">
        <v>0</v>
      </c>
      <c r="U357" s="130">
        <v>0</v>
      </c>
      <c r="V357" s="130">
        <f t="shared" si="282"/>
        <v>99.27564804170332</v>
      </c>
      <c r="W357" s="63">
        <f t="shared" si="279"/>
        <v>151448</v>
      </c>
      <c r="X357" s="247">
        <f t="shared" si="286"/>
        <v>20756620</v>
      </c>
      <c r="Y357" s="247">
        <f t="shared" si="284"/>
        <v>0</v>
      </c>
      <c r="Z357" s="247">
        <f t="shared" si="285"/>
        <v>0</v>
      </c>
      <c r="AA357" s="93"/>
    </row>
    <row r="358" spans="1:27">
      <c r="A358" s="44" t="s">
        <v>123</v>
      </c>
      <c r="B358" s="45" t="s">
        <v>391</v>
      </c>
      <c r="C358" s="95">
        <v>2140406</v>
      </c>
      <c r="D358" s="95">
        <v>0</v>
      </c>
      <c r="E358" s="95">
        <v>0</v>
      </c>
      <c r="F358" s="95">
        <f t="shared" si="287"/>
        <v>2140406</v>
      </c>
      <c r="G358" s="121">
        <v>2140000</v>
      </c>
      <c r="H358" s="63">
        <v>0</v>
      </c>
      <c r="I358" s="63">
        <v>0</v>
      </c>
      <c r="J358" s="63">
        <f t="shared" si="280"/>
        <v>2140000</v>
      </c>
      <c r="K358" s="63"/>
      <c r="L358" s="63"/>
      <c r="M358" s="63"/>
      <c r="N358" s="63">
        <f t="shared" si="283"/>
        <v>0</v>
      </c>
      <c r="O358" s="47">
        <f t="shared" si="259"/>
        <v>2140000</v>
      </c>
      <c r="P358" s="63">
        <f t="shared" si="260"/>
        <v>0</v>
      </c>
      <c r="Q358" s="63">
        <f t="shared" si="261"/>
        <v>0</v>
      </c>
      <c r="R358" s="63">
        <f t="shared" si="262"/>
        <v>2140000</v>
      </c>
      <c r="S358" s="130">
        <f t="shared" si="281"/>
        <v>99.981031636054098</v>
      </c>
      <c r="T358" s="79">
        <v>0</v>
      </c>
      <c r="U358" s="130">
        <v>0</v>
      </c>
      <c r="V358" s="130">
        <f t="shared" si="282"/>
        <v>99.981031636054098</v>
      </c>
      <c r="W358" s="63">
        <f t="shared" si="279"/>
        <v>406</v>
      </c>
      <c r="X358" s="247">
        <f t="shared" si="286"/>
        <v>2140000</v>
      </c>
      <c r="Y358" s="247">
        <f t="shared" si="284"/>
        <v>0</v>
      </c>
      <c r="Z358" s="247">
        <f t="shared" si="285"/>
        <v>0</v>
      </c>
      <c r="AA358" s="93"/>
    </row>
    <row r="359" spans="1:27">
      <c r="A359" s="44" t="s">
        <v>128</v>
      </c>
      <c r="B359" s="45" t="s">
        <v>113</v>
      </c>
      <c r="C359" s="95">
        <v>25376994</v>
      </c>
      <c r="D359" s="95">
        <v>3284300</v>
      </c>
      <c r="E359" s="95">
        <v>0</v>
      </c>
      <c r="F359" s="95">
        <f t="shared" si="287"/>
        <v>28661294</v>
      </c>
      <c r="G359" s="121">
        <v>17084200</v>
      </c>
      <c r="H359" s="63">
        <v>1161150</v>
      </c>
      <c r="I359" s="63">
        <v>0</v>
      </c>
      <c r="J359" s="63">
        <f t="shared" si="280"/>
        <v>18245350</v>
      </c>
      <c r="K359" s="63"/>
      <c r="L359" s="63"/>
      <c r="M359" s="63"/>
      <c r="N359" s="63">
        <f t="shared" si="283"/>
        <v>0</v>
      </c>
      <c r="O359" s="47">
        <f t="shared" si="259"/>
        <v>17084200</v>
      </c>
      <c r="P359" s="63">
        <f t="shared" si="260"/>
        <v>1161150</v>
      </c>
      <c r="Q359" s="63">
        <f t="shared" si="261"/>
        <v>0</v>
      </c>
      <c r="R359" s="63">
        <f t="shared" si="262"/>
        <v>18245350</v>
      </c>
      <c r="S359" s="130">
        <f t="shared" si="281"/>
        <v>67.321606333673728</v>
      </c>
      <c r="T359" s="130">
        <f>P359/D359*100</f>
        <v>35.354565660871415</v>
      </c>
      <c r="U359" s="130">
        <v>0</v>
      </c>
      <c r="V359" s="130">
        <f t="shared" si="282"/>
        <v>63.658500554790024</v>
      </c>
      <c r="W359" s="63">
        <f t="shared" si="279"/>
        <v>10415944</v>
      </c>
      <c r="X359" s="247">
        <f t="shared" si="286"/>
        <v>17084200</v>
      </c>
      <c r="Y359" s="247">
        <f t="shared" si="284"/>
        <v>1161150</v>
      </c>
      <c r="Z359" s="247">
        <f t="shared" si="285"/>
        <v>0</v>
      </c>
      <c r="AA359" s="93"/>
    </row>
    <row r="360" spans="1:27">
      <c r="A360" s="44" t="s">
        <v>365</v>
      </c>
      <c r="B360" s="45" t="s">
        <v>392</v>
      </c>
      <c r="C360" s="95">
        <v>1048950</v>
      </c>
      <c r="D360" s="95">
        <v>0</v>
      </c>
      <c r="E360" s="95">
        <v>0</v>
      </c>
      <c r="F360" s="95">
        <f t="shared" si="287"/>
        <v>1048950</v>
      </c>
      <c r="G360" s="121">
        <v>1048950</v>
      </c>
      <c r="H360" s="63">
        <v>0</v>
      </c>
      <c r="I360" s="63">
        <v>0</v>
      </c>
      <c r="J360" s="63">
        <f t="shared" si="280"/>
        <v>1048950</v>
      </c>
      <c r="K360" s="63"/>
      <c r="L360" s="63"/>
      <c r="M360" s="63"/>
      <c r="N360" s="63">
        <f t="shared" si="283"/>
        <v>0</v>
      </c>
      <c r="O360" s="47">
        <f t="shared" si="259"/>
        <v>1048950</v>
      </c>
      <c r="P360" s="63">
        <f t="shared" si="260"/>
        <v>0</v>
      </c>
      <c r="Q360" s="63">
        <f t="shared" si="261"/>
        <v>0</v>
      </c>
      <c r="R360" s="63">
        <f t="shared" si="262"/>
        <v>1048950</v>
      </c>
      <c r="S360" s="130">
        <f t="shared" si="281"/>
        <v>100</v>
      </c>
      <c r="T360" s="79">
        <v>0</v>
      </c>
      <c r="U360" s="130">
        <v>0</v>
      </c>
      <c r="V360" s="130">
        <f t="shared" si="282"/>
        <v>100</v>
      </c>
      <c r="W360" s="63">
        <f t="shared" si="279"/>
        <v>0</v>
      </c>
      <c r="X360" s="247">
        <f t="shared" si="286"/>
        <v>1048950</v>
      </c>
      <c r="Y360" s="247">
        <f t="shared" si="284"/>
        <v>0</v>
      </c>
      <c r="Z360" s="247">
        <f t="shared" si="285"/>
        <v>0</v>
      </c>
      <c r="AA360" s="93"/>
    </row>
    <row r="361" spans="1:27">
      <c r="A361" s="44" t="s">
        <v>393</v>
      </c>
      <c r="B361" s="45" t="s">
        <v>394</v>
      </c>
      <c r="C361" s="95">
        <v>10000000</v>
      </c>
      <c r="D361" s="95">
        <v>0</v>
      </c>
      <c r="E361" s="95">
        <v>0</v>
      </c>
      <c r="F361" s="95">
        <f t="shared" si="287"/>
        <v>10000000</v>
      </c>
      <c r="G361" s="121">
        <v>9946847</v>
      </c>
      <c r="H361" s="63">
        <v>0</v>
      </c>
      <c r="I361" s="63">
        <v>0</v>
      </c>
      <c r="J361" s="63">
        <f t="shared" si="280"/>
        <v>9946847</v>
      </c>
      <c r="K361" s="63"/>
      <c r="L361" s="63"/>
      <c r="M361" s="63"/>
      <c r="N361" s="63">
        <f t="shared" si="283"/>
        <v>0</v>
      </c>
      <c r="O361" s="47">
        <f t="shared" si="259"/>
        <v>9946847</v>
      </c>
      <c r="P361" s="63">
        <f t="shared" si="260"/>
        <v>0</v>
      </c>
      <c r="Q361" s="63">
        <f t="shared" si="261"/>
        <v>0</v>
      </c>
      <c r="R361" s="63">
        <f t="shared" si="262"/>
        <v>9946847</v>
      </c>
      <c r="S361" s="130">
        <f t="shared" si="281"/>
        <v>99.468469999999996</v>
      </c>
      <c r="T361" s="79">
        <v>0</v>
      </c>
      <c r="U361" s="130">
        <v>0</v>
      </c>
      <c r="V361" s="130">
        <f t="shared" si="282"/>
        <v>99.468469999999996</v>
      </c>
      <c r="W361" s="63">
        <f t="shared" si="279"/>
        <v>53153</v>
      </c>
      <c r="X361" s="247">
        <f t="shared" si="286"/>
        <v>9946847</v>
      </c>
      <c r="Y361" s="247">
        <f t="shared" si="284"/>
        <v>0</v>
      </c>
      <c r="Z361" s="247">
        <f t="shared" si="285"/>
        <v>0</v>
      </c>
      <c r="AA361" s="93"/>
    </row>
    <row r="362" spans="1:27">
      <c r="A362" s="44" t="s">
        <v>118</v>
      </c>
      <c r="B362" s="45" t="s">
        <v>375</v>
      </c>
      <c r="C362" s="95">
        <v>21582592</v>
      </c>
      <c r="D362" s="95">
        <v>0</v>
      </c>
      <c r="E362" s="95">
        <v>0</v>
      </c>
      <c r="F362" s="95">
        <f t="shared" si="287"/>
        <v>21582592</v>
      </c>
      <c r="G362" s="121">
        <v>15582330</v>
      </c>
      <c r="H362" s="63">
        <v>0</v>
      </c>
      <c r="I362" s="63">
        <v>0</v>
      </c>
      <c r="J362" s="63">
        <f t="shared" si="280"/>
        <v>15582330</v>
      </c>
      <c r="K362" s="63"/>
      <c r="L362" s="63"/>
      <c r="M362" s="63"/>
      <c r="N362" s="63">
        <f t="shared" si="283"/>
        <v>0</v>
      </c>
      <c r="O362" s="47">
        <f t="shared" si="259"/>
        <v>15582330</v>
      </c>
      <c r="P362" s="63">
        <f t="shared" si="260"/>
        <v>0</v>
      </c>
      <c r="Q362" s="63">
        <f t="shared" si="261"/>
        <v>0</v>
      </c>
      <c r="R362" s="63">
        <f t="shared" si="262"/>
        <v>15582330</v>
      </c>
      <c r="S362" s="130">
        <f t="shared" si="281"/>
        <v>72.198603392956699</v>
      </c>
      <c r="T362" s="79">
        <v>0</v>
      </c>
      <c r="U362" s="130">
        <v>0</v>
      </c>
      <c r="V362" s="130">
        <f t="shared" si="282"/>
        <v>72.198603392956699</v>
      </c>
      <c r="W362" s="63">
        <f t="shared" si="279"/>
        <v>6000262</v>
      </c>
      <c r="X362" s="247">
        <f t="shared" si="286"/>
        <v>15582330</v>
      </c>
      <c r="Y362" s="247">
        <f t="shared" si="284"/>
        <v>0</v>
      </c>
      <c r="Z362" s="247">
        <f t="shared" si="285"/>
        <v>0</v>
      </c>
      <c r="AA362" s="93"/>
    </row>
    <row r="363" spans="1:27">
      <c r="A363" s="44" t="s">
        <v>274</v>
      </c>
      <c r="B363" s="45" t="s">
        <v>395</v>
      </c>
      <c r="C363" s="95">
        <v>22688250</v>
      </c>
      <c r="D363" s="95">
        <v>2448500</v>
      </c>
      <c r="E363" s="95">
        <v>0</v>
      </c>
      <c r="F363" s="95">
        <f t="shared" si="287"/>
        <v>25136750</v>
      </c>
      <c r="G363" s="121">
        <v>0</v>
      </c>
      <c r="H363" s="63">
        <v>2181900</v>
      </c>
      <c r="I363" s="63">
        <v>0</v>
      </c>
      <c r="J363" s="63">
        <f t="shared" si="280"/>
        <v>2181900</v>
      </c>
      <c r="K363" s="63"/>
      <c r="L363" s="63"/>
      <c r="M363" s="63"/>
      <c r="N363" s="63">
        <f t="shared" si="283"/>
        <v>0</v>
      </c>
      <c r="O363" s="47">
        <f t="shared" si="259"/>
        <v>0</v>
      </c>
      <c r="P363" s="63">
        <f t="shared" si="260"/>
        <v>2181900</v>
      </c>
      <c r="Q363" s="63">
        <f t="shared" si="261"/>
        <v>0</v>
      </c>
      <c r="R363" s="63">
        <f t="shared" si="262"/>
        <v>2181900</v>
      </c>
      <c r="S363" s="130">
        <f t="shared" si="281"/>
        <v>0</v>
      </c>
      <c r="T363" s="130">
        <f>P363/D363*100</f>
        <v>89.111701041453955</v>
      </c>
      <c r="U363" s="130">
        <v>0</v>
      </c>
      <c r="V363" s="130">
        <f t="shared" si="282"/>
        <v>8.6801197449948777</v>
      </c>
      <c r="W363" s="63">
        <f t="shared" si="279"/>
        <v>22954850</v>
      </c>
      <c r="X363" s="247">
        <f t="shared" si="286"/>
        <v>0</v>
      </c>
      <c r="Y363" s="247">
        <f t="shared" si="284"/>
        <v>2181900</v>
      </c>
      <c r="Z363" s="247">
        <f t="shared" si="285"/>
        <v>0</v>
      </c>
      <c r="AA363" s="93"/>
    </row>
    <row r="364" spans="1:27">
      <c r="A364" s="44" t="s">
        <v>396</v>
      </c>
      <c r="B364" s="45" t="s">
        <v>397</v>
      </c>
      <c r="C364" s="95">
        <v>0</v>
      </c>
      <c r="D364" s="95">
        <v>695500</v>
      </c>
      <c r="E364" s="95">
        <v>0</v>
      </c>
      <c r="F364" s="95">
        <f t="shared" si="287"/>
        <v>695500</v>
      </c>
      <c r="G364" s="121">
        <v>0</v>
      </c>
      <c r="H364" s="63">
        <v>660000</v>
      </c>
      <c r="I364" s="63">
        <v>0</v>
      </c>
      <c r="J364" s="63">
        <f t="shared" si="280"/>
        <v>660000</v>
      </c>
      <c r="K364" s="63"/>
      <c r="L364" s="63"/>
      <c r="M364" s="63"/>
      <c r="N364" s="63">
        <f t="shared" si="283"/>
        <v>0</v>
      </c>
      <c r="O364" s="47">
        <f t="shared" si="259"/>
        <v>0</v>
      </c>
      <c r="P364" s="63">
        <f t="shared" si="260"/>
        <v>660000</v>
      </c>
      <c r="Q364" s="63">
        <f t="shared" si="261"/>
        <v>0</v>
      </c>
      <c r="R364" s="63">
        <f t="shared" si="262"/>
        <v>660000</v>
      </c>
      <c r="S364" s="79">
        <v>0</v>
      </c>
      <c r="T364" s="130">
        <f>P364/D364*100</f>
        <v>94.895758447160318</v>
      </c>
      <c r="U364" s="130">
        <v>0</v>
      </c>
      <c r="V364" s="130">
        <f t="shared" si="282"/>
        <v>94.895758447160318</v>
      </c>
      <c r="W364" s="63">
        <f t="shared" si="279"/>
        <v>35500</v>
      </c>
      <c r="X364" s="247">
        <f t="shared" si="286"/>
        <v>0</v>
      </c>
      <c r="Y364" s="247">
        <f t="shared" si="284"/>
        <v>660000</v>
      </c>
      <c r="Z364" s="247">
        <f t="shared" si="285"/>
        <v>0</v>
      </c>
      <c r="AA364" s="93"/>
    </row>
    <row r="365" spans="1:27">
      <c r="A365" s="44" t="s">
        <v>398</v>
      </c>
      <c r="B365" s="45" t="s">
        <v>399</v>
      </c>
      <c r="C365" s="95">
        <v>13508400</v>
      </c>
      <c r="D365" s="95">
        <v>0</v>
      </c>
      <c r="E365" s="95">
        <v>0</v>
      </c>
      <c r="F365" s="95">
        <f t="shared" si="287"/>
        <v>13508400</v>
      </c>
      <c r="G365" s="121">
        <v>10733400</v>
      </c>
      <c r="H365" s="63">
        <v>0</v>
      </c>
      <c r="I365" s="63">
        <v>0</v>
      </c>
      <c r="J365" s="63">
        <f t="shared" si="280"/>
        <v>10733400</v>
      </c>
      <c r="K365" s="63"/>
      <c r="L365" s="63"/>
      <c r="M365" s="63"/>
      <c r="N365" s="63">
        <f t="shared" si="283"/>
        <v>0</v>
      </c>
      <c r="O365" s="47">
        <f t="shared" si="259"/>
        <v>10733400</v>
      </c>
      <c r="P365" s="63">
        <f t="shared" si="260"/>
        <v>0</v>
      </c>
      <c r="Q365" s="63">
        <f t="shared" si="261"/>
        <v>0</v>
      </c>
      <c r="R365" s="63">
        <f t="shared" si="262"/>
        <v>10733400</v>
      </c>
      <c r="S365" s="130">
        <f t="shared" si="281"/>
        <v>79.457226614550947</v>
      </c>
      <c r="T365" s="79">
        <v>0</v>
      </c>
      <c r="U365" s="130">
        <v>0</v>
      </c>
      <c r="V365" s="130">
        <f t="shared" si="282"/>
        <v>79.457226614550947</v>
      </c>
      <c r="W365" s="63">
        <f t="shared" si="279"/>
        <v>2775000</v>
      </c>
      <c r="X365" s="247">
        <f t="shared" si="286"/>
        <v>10733400</v>
      </c>
      <c r="Y365" s="247">
        <f t="shared" si="284"/>
        <v>0</v>
      </c>
      <c r="Z365" s="247">
        <f t="shared" si="285"/>
        <v>0</v>
      </c>
      <c r="AA365" s="93"/>
    </row>
    <row r="366" spans="1:27">
      <c r="A366" s="44" t="s">
        <v>124</v>
      </c>
      <c r="B366" s="45" t="s">
        <v>125</v>
      </c>
      <c r="C366" s="95">
        <v>78790000</v>
      </c>
      <c r="D366" s="95">
        <v>37480000</v>
      </c>
      <c r="E366" s="95">
        <v>0</v>
      </c>
      <c r="F366" s="95">
        <f t="shared" si="287"/>
        <v>116270000</v>
      </c>
      <c r="G366" s="121">
        <v>31340000</v>
      </c>
      <c r="H366" s="63">
        <v>7271920</v>
      </c>
      <c r="I366" s="63">
        <v>0</v>
      </c>
      <c r="J366" s="63">
        <f t="shared" si="280"/>
        <v>38611920</v>
      </c>
      <c r="K366" s="63"/>
      <c r="L366" s="63"/>
      <c r="M366" s="63"/>
      <c r="N366" s="63">
        <f t="shared" si="283"/>
        <v>0</v>
      </c>
      <c r="O366" s="47">
        <f t="shared" si="259"/>
        <v>31340000</v>
      </c>
      <c r="P366" s="63">
        <f t="shared" si="260"/>
        <v>7271920</v>
      </c>
      <c r="Q366" s="63">
        <f t="shared" si="261"/>
        <v>0</v>
      </c>
      <c r="R366" s="63">
        <f t="shared" si="262"/>
        <v>38611920</v>
      </c>
      <c r="S366" s="130">
        <f t="shared" si="281"/>
        <v>39.776621398654648</v>
      </c>
      <c r="T366" s="130">
        <f>P366/D366*100</f>
        <v>19.402134471718249</v>
      </c>
      <c r="U366" s="130">
        <v>0</v>
      </c>
      <c r="V366" s="130">
        <f t="shared" si="282"/>
        <v>33.208841489636193</v>
      </c>
      <c r="W366" s="63">
        <f t="shared" si="279"/>
        <v>77658080</v>
      </c>
      <c r="X366" s="247">
        <f t="shared" si="286"/>
        <v>31340000</v>
      </c>
      <c r="Y366" s="247">
        <f t="shared" si="284"/>
        <v>7271920</v>
      </c>
      <c r="Z366" s="247">
        <f t="shared" si="285"/>
        <v>0</v>
      </c>
      <c r="AA366" s="93"/>
    </row>
    <row r="367" spans="1:27">
      <c r="A367" s="44" t="s">
        <v>137</v>
      </c>
      <c r="B367" s="45" t="s">
        <v>138</v>
      </c>
      <c r="C367" s="95">
        <v>42000000</v>
      </c>
      <c r="D367" s="95">
        <v>29400000</v>
      </c>
      <c r="E367" s="95">
        <v>0</v>
      </c>
      <c r="F367" s="95">
        <f t="shared" si="287"/>
        <v>71400000</v>
      </c>
      <c r="G367" s="121">
        <v>21600000</v>
      </c>
      <c r="H367" s="63">
        <v>20700000</v>
      </c>
      <c r="I367" s="63">
        <v>0</v>
      </c>
      <c r="J367" s="63">
        <f t="shared" si="280"/>
        <v>42300000</v>
      </c>
      <c r="K367" s="63"/>
      <c r="L367" s="63"/>
      <c r="M367" s="63"/>
      <c r="N367" s="63">
        <f t="shared" si="283"/>
        <v>0</v>
      </c>
      <c r="O367" s="47">
        <f t="shared" si="259"/>
        <v>21600000</v>
      </c>
      <c r="P367" s="63">
        <f t="shared" si="260"/>
        <v>20700000</v>
      </c>
      <c r="Q367" s="63">
        <f t="shared" si="261"/>
        <v>0</v>
      </c>
      <c r="R367" s="63">
        <f t="shared" si="262"/>
        <v>42300000</v>
      </c>
      <c r="S367" s="130">
        <f t="shared" si="281"/>
        <v>51.428571428571423</v>
      </c>
      <c r="T367" s="130">
        <f>P367/D367*100</f>
        <v>70.408163265306129</v>
      </c>
      <c r="U367" s="130">
        <v>0</v>
      </c>
      <c r="V367" s="130">
        <f t="shared" si="282"/>
        <v>59.243697478991599</v>
      </c>
      <c r="W367" s="63">
        <f t="shared" si="279"/>
        <v>29100000</v>
      </c>
      <c r="X367" s="247">
        <f t="shared" si="286"/>
        <v>21600000</v>
      </c>
      <c r="Y367" s="247">
        <f t="shared" si="284"/>
        <v>20700000</v>
      </c>
      <c r="Z367" s="247">
        <f t="shared" si="285"/>
        <v>0</v>
      </c>
      <c r="AA367" s="93"/>
    </row>
    <row r="368" spans="1:27">
      <c r="A368" s="44" t="s">
        <v>400</v>
      </c>
      <c r="B368" s="45" t="s">
        <v>401</v>
      </c>
      <c r="C368" s="95">
        <v>6195370</v>
      </c>
      <c r="D368" s="95">
        <v>0</v>
      </c>
      <c r="E368" s="95">
        <v>0</v>
      </c>
      <c r="F368" s="95">
        <f t="shared" si="287"/>
        <v>6195370</v>
      </c>
      <c r="G368" s="121">
        <v>1418500</v>
      </c>
      <c r="H368" s="63">
        <v>0</v>
      </c>
      <c r="I368" s="63">
        <v>0</v>
      </c>
      <c r="J368" s="63">
        <f t="shared" si="280"/>
        <v>1418500</v>
      </c>
      <c r="K368" s="63"/>
      <c r="L368" s="63"/>
      <c r="M368" s="63"/>
      <c r="N368" s="63">
        <f t="shared" si="283"/>
        <v>0</v>
      </c>
      <c r="O368" s="47">
        <f t="shared" si="259"/>
        <v>1418500</v>
      </c>
      <c r="P368" s="63">
        <f t="shared" si="260"/>
        <v>0</v>
      </c>
      <c r="Q368" s="63">
        <f t="shared" si="261"/>
        <v>0</v>
      </c>
      <c r="R368" s="63">
        <f t="shared" si="262"/>
        <v>1418500</v>
      </c>
      <c r="S368" s="130">
        <f t="shared" si="281"/>
        <v>22.89613049745213</v>
      </c>
      <c r="T368" s="79">
        <v>0</v>
      </c>
      <c r="U368" s="130">
        <v>0</v>
      </c>
      <c r="V368" s="130">
        <f t="shared" si="282"/>
        <v>22.89613049745213</v>
      </c>
      <c r="W368" s="63">
        <f t="shared" si="279"/>
        <v>4776870</v>
      </c>
      <c r="X368" s="247">
        <f t="shared" si="286"/>
        <v>1418500</v>
      </c>
      <c r="Y368" s="247">
        <f t="shared" si="284"/>
        <v>0</v>
      </c>
      <c r="Z368" s="247">
        <f t="shared" si="285"/>
        <v>0</v>
      </c>
      <c r="AA368" s="93"/>
    </row>
    <row r="369" spans="1:27">
      <c r="A369" s="44" t="s">
        <v>402</v>
      </c>
      <c r="B369" s="45" t="s">
        <v>301</v>
      </c>
      <c r="C369" s="95">
        <v>271480000</v>
      </c>
      <c r="D369" s="95">
        <v>0</v>
      </c>
      <c r="E369" s="95">
        <v>0</v>
      </c>
      <c r="F369" s="95">
        <f t="shared" si="287"/>
        <v>271480000</v>
      </c>
      <c r="G369" s="121">
        <v>146190000</v>
      </c>
      <c r="H369" s="63">
        <v>0</v>
      </c>
      <c r="I369" s="63">
        <v>0</v>
      </c>
      <c r="J369" s="63">
        <f t="shared" si="280"/>
        <v>146190000</v>
      </c>
      <c r="K369" s="63"/>
      <c r="L369" s="63"/>
      <c r="M369" s="63"/>
      <c r="N369" s="63">
        <f t="shared" si="283"/>
        <v>0</v>
      </c>
      <c r="O369" s="47">
        <f t="shared" si="259"/>
        <v>146190000</v>
      </c>
      <c r="P369" s="63">
        <f t="shared" si="260"/>
        <v>0</v>
      </c>
      <c r="Q369" s="63">
        <f t="shared" si="261"/>
        <v>0</v>
      </c>
      <c r="R369" s="63">
        <f t="shared" si="262"/>
        <v>146190000</v>
      </c>
      <c r="S369" s="130">
        <f t="shared" si="281"/>
        <v>53.849270664505674</v>
      </c>
      <c r="T369" s="79">
        <v>0</v>
      </c>
      <c r="U369" s="130">
        <v>0</v>
      </c>
      <c r="V369" s="130">
        <f t="shared" si="282"/>
        <v>53.849270664505674</v>
      </c>
      <c r="W369" s="63">
        <f t="shared" si="279"/>
        <v>125290000</v>
      </c>
      <c r="X369" s="247">
        <f t="shared" si="286"/>
        <v>146190000</v>
      </c>
      <c r="Y369" s="247">
        <f t="shared" si="284"/>
        <v>0</v>
      </c>
      <c r="Z369" s="247">
        <f t="shared" si="285"/>
        <v>0</v>
      </c>
      <c r="AA369" s="93"/>
    </row>
    <row r="370" spans="1:27">
      <c r="A370" s="44" t="s">
        <v>131</v>
      </c>
      <c r="B370" s="45" t="s">
        <v>132</v>
      </c>
      <c r="C370" s="95">
        <v>12467400</v>
      </c>
      <c r="D370" s="95">
        <v>0</v>
      </c>
      <c r="E370" s="95">
        <v>0</v>
      </c>
      <c r="F370" s="95">
        <f t="shared" si="287"/>
        <v>12467400</v>
      </c>
      <c r="G370" s="121">
        <v>4080000</v>
      </c>
      <c r="H370" s="63">
        <v>0</v>
      </c>
      <c r="I370" s="63">
        <v>0</v>
      </c>
      <c r="J370" s="63">
        <f t="shared" si="280"/>
        <v>4080000</v>
      </c>
      <c r="K370" s="63"/>
      <c r="L370" s="63"/>
      <c r="M370" s="63"/>
      <c r="N370" s="63">
        <f t="shared" si="283"/>
        <v>0</v>
      </c>
      <c r="O370" s="47">
        <f t="shared" si="259"/>
        <v>4080000</v>
      </c>
      <c r="P370" s="63">
        <f t="shared" si="260"/>
        <v>0</v>
      </c>
      <c r="Q370" s="63">
        <f t="shared" si="261"/>
        <v>0</v>
      </c>
      <c r="R370" s="63">
        <f t="shared" si="262"/>
        <v>4080000</v>
      </c>
      <c r="S370" s="130">
        <f t="shared" si="281"/>
        <v>32.725347706819385</v>
      </c>
      <c r="T370" s="79">
        <v>0</v>
      </c>
      <c r="U370" s="130">
        <v>0</v>
      </c>
      <c r="V370" s="130">
        <f t="shared" si="282"/>
        <v>32.725347706819385</v>
      </c>
      <c r="W370" s="63">
        <f t="shared" si="279"/>
        <v>8387400</v>
      </c>
      <c r="X370" s="247">
        <f t="shared" si="286"/>
        <v>4080000</v>
      </c>
      <c r="Y370" s="247">
        <f t="shared" si="284"/>
        <v>0</v>
      </c>
      <c r="Z370" s="247">
        <f t="shared" si="285"/>
        <v>0</v>
      </c>
      <c r="AA370" s="93"/>
    </row>
    <row r="371" spans="1:27">
      <c r="A371" s="44" t="s">
        <v>403</v>
      </c>
      <c r="B371" s="45" t="s">
        <v>404</v>
      </c>
      <c r="C371" s="95">
        <v>377000</v>
      </c>
      <c r="D371" s="95">
        <v>0</v>
      </c>
      <c r="E371" s="95">
        <v>0</v>
      </c>
      <c r="F371" s="95">
        <f t="shared" si="287"/>
        <v>377000</v>
      </c>
      <c r="G371" s="121">
        <v>120000</v>
      </c>
      <c r="H371" s="63">
        <v>0</v>
      </c>
      <c r="I371" s="63">
        <v>0</v>
      </c>
      <c r="J371" s="63">
        <f t="shared" si="280"/>
        <v>120000</v>
      </c>
      <c r="K371" s="63"/>
      <c r="L371" s="63"/>
      <c r="M371" s="63"/>
      <c r="N371" s="63">
        <f t="shared" si="283"/>
        <v>0</v>
      </c>
      <c r="O371" s="47">
        <f t="shared" si="259"/>
        <v>120000</v>
      </c>
      <c r="P371" s="63">
        <f t="shared" si="260"/>
        <v>0</v>
      </c>
      <c r="Q371" s="63">
        <f t="shared" si="261"/>
        <v>0</v>
      </c>
      <c r="R371" s="63">
        <f t="shared" si="262"/>
        <v>120000</v>
      </c>
      <c r="S371" s="130">
        <f t="shared" si="281"/>
        <v>31.830238726790448</v>
      </c>
      <c r="T371" s="79">
        <v>0</v>
      </c>
      <c r="U371" s="130">
        <v>0</v>
      </c>
      <c r="V371" s="130">
        <f t="shared" si="282"/>
        <v>31.830238726790448</v>
      </c>
      <c r="W371" s="63">
        <f t="shared" si="279"/>
        <v>257000</v>
      </c>
      <c r="X371" s="247">
        <f t="shared" si="286"/>
        <v>120000</v>
      </c>
      <c r="Y371" s="247">
        <f t="shared" si="284"/>
        <v>0</v>
      </c>
      <c r="Z371" s="247">
        <f t="shared" si="285"/>
        <v>0</v>
      </c>
      <c r="AA371" s="93"/>
    </row>
    <row r="372" spans="1:27">
      <c r="A372" s="44" t="s">
        <v>405</v>
      </c>
      <c r="B372" s="45" t="s">
        <v>120</v>
      </c>
      <c r="C372" s="95">
        <v>129773400</v>
      </c>
      <c r="D372" s="95">
        <v>0</v>
      </c>
      <c r="E372" s="95">
        <v>0</v>
      </c>
      <c r="F372" s="95">
        <f t="shared" si="287"/>
        <v>129773400</v>
      </c>
      <c r="G372" s="121">
        <v>88097838</v>
      </c>
      <c r="H372" s="63">
        <v>0</v>
      </c>
      <c r="I372" s="63">
        <v>0</v>
      </c>
      <c r="J372" s="63">
        <f t="shared" si="280"/>
        <v>88097838</v>
      </c>
      <c r="K372" s="63"/>
      <c r="L372" s="63"/>
      <c r="M372" s="63"/>
      <c r="N372" s="63">
        <f t="shared" si="283"/>
        <v>0</v>
      </c>
      <c r="O372" s="47">
        <f t="shared" si="259"/>
        <v>88097838</v>
      </c>
      <c r="P372" s="63">
        <f t="shared" si="260"/>
        <v>0</v>
      </c>
      <c r="Q372" s="63">
        <f t="shared" si="261"/>
        <v>0</v>
      </c>
      <c r="R372" s="63">
        <f t="shared" si="262"/>
        <v>88097838</v>
      </c>
      <c r="S372" s="130">
        <f t="shared" si="281"/>
        <v>67.885898034574112</v>
      </c>
      <c r="T372" s="79">
        <v>0</v>
      </c>
      <c r="U372" s="130">
        <v>0</v>
      </c>
      <c r="V372" s="130">
        <f t="shared" si="282"/>
        <v>67.885898034574112</v>
      </c>
      <c r="W372" s="63">
        <f t="shared" si="279"/>
        <v>41675562</v>
      </c>
      <c r="X372" s="247">
        <f t="shared" si="286"/>
        <v>88097838</v>
      </c>
      <c r="Y372" s="247">
        <f t="shared" si="284"/>
        <v>0</v>
      </c>
      <c r="Z372" s="247">
        <f t="shared" si="285"/>
        <v>0</v>
      </c>
      <c r="AA372" s="93"/>
    </row>
    <row r="373" spans="1:27">
      <c r="A373" s="44" t="s">
        <v>406</v>
      </c>
      <c r="B373" s="45" t="s">
        <v>407</v>
      </c>
      <c r="C373" s="95">
        <v>88800000</v>
      </c>
      <c r="D373" s="95">
        <v>0</v>
      </c>
      <c r="E373" s="95">
        <v>0</v>
      </c>
      <c r="F373" s="95">
        <f t="shared" si="287"/>
        <v>88800000</v>
      </c>
      <c r="G373" s="121">
        <v>33300000</v>
      </c>
      <c r="H373" s="63">
        <v>0</v>
      </c>
      <c r="I373" s="63">
        <v>0</v>
      </c>
      <c r="J373" s="63">
        <f t="shared" si="280"/>
        <v>33300000</v>
      </c>
      <c r="K373" s="63"/>
      <c r="L373" s="63"/>
      <c r="M373" s="63"/>
      <c r="N373" s="63">
        <f t="shared" si="283"/>
        <v>0</v>
      </c>
      <c r="O373" s="47">
        <f t="shared" si="259"/>
        <v>33300000</v>
      </c>
      <c r="P373" s="63">
        <f t="shared" si="260"/>
        <v>0</v>
      </c>
      <c r="Q373" s="63">
        <f t="shared" si="261"/>
        <v>0</v>
      </c>
      <c r="R373" s="63">
        <f t="shared" si="262"/>
        <v>33300000</v>
      </c>
      <c r="S373" s="130">
        <f t="shared" si="281"/>
        <v>37.5</v>
      </c>
      <c r="T373" s="79">
        <v>0</v>
      </c>
      <c r="U373" s="130">
        <v>0</v>
      </c>
      <c r="V373" s="130">
        <f t="shared" si="282"/>
        <v>37.5</v>
      </c>
      <c r="W373" s="63">
        <f t="shared" si="279"/>
        <v>55500000</v>
      </c>
      <c r="X373" s="247">
        <f t="shared" si="286"/>
        <v>33300000</v>
      </c>
      <c r="Y373" s="247">
        <f t="shared" si="284"/>
        <v>0</v>
      </c>
      <c r="Z373" s="247">
        <f t="shared" si="285"/>
        <v>0</v>
      </c>
      <c r="AA373" s="93"/>
    </row>
    <row r="374" spans="1:27" ht="33">
      <c r="A374" s="44" t="s">
        <v>408</v>
      </c>
      <c r="B374" s="45" t="s">
        <v>210</v>
      </c>
      <c r="C374" s="95">
        <v>199469000</v>
      </c>
      <c r="D374" s="95">
        <v>0</v>
      </c>
      <c r="E374" s="95">
        <v>0</v>
      </c>
      <c r="F374" s="95">
        <f t="shared" si="287"/>
        <v>199469000</v>
      </c>
      <c r="G374" s="121">
        <v>0</v>
      </c>
      <c r="H374" s="63">
        <v>0</v>
      </c>
      <c r="I374" s="63">
        <v>0</v>
      </c>
      <c r="J374" s="63">
        <f t="shared" si="280"/>
        <v>0</v>
      </c>
      <c r="K374" s="63"/>
      <c r="L374" s="63"/>
      <c r="M374" s="63"/>
      <c r="N374" s="63">
        <f t="shared" si="283"/>
        <v>0</v>
      </c>
      <c r="O374" s="47">
        <f t="shared" si="259"/>
        <v>0</v>
      </c>
      <c r="P374" s="63">
        <f t="shared" si="260"/>
        <v>0</v>
      </c>
      <c r="Q374" s="63">
        <f t="shared" si="261"/>
        <v>0</v>
      </c>
      <c r="R374" s="63">
        <f t="shared" si="262"/>
        <v>0</v>
      </c>
      <c r="S374" s="130">
        <f t="shared" si="281"/>
        <v>0</v>
      </c>
      <c r="T374" s="79">
        <v>0</v>
      </c>
      <c r="U374" s="130">
        <v>0</v>
      </c>
      <c r="V374" s="130">
        <f t="shared" si="282"/>
        <v>0</v>
      </c>
      <c r="W374" s="63">
        <f t="shared" si="279"/>
        <v>199469000</v>
      </c>
      <c r="X374" s="247">
        <f t="shared" si="286"/>
        <v>0</v>
      </c>
      <c r="Y374" s="247">
        <f t="shared" si="284"/>
        <v>0</v>
      </c>
      <c r="Z374" s="247">
        <f t="shared" si="285"/>
        <v>0</v>
      </c>
      <c r="AA374" s="93"/>
    </row>
    <row r="375" spans="1:27">
      <c r="A375" s="44" t="s">
        <v>100</v>
      </c>
      <c r="B375" s="45" t="s">
        <v>101</v>
      </c>
      <c r="C375" s="95">
        <v>692880000</v>
      </c>
      <c r="D375" s="95">
        <v>277100000</v>
      </c>
      <c r="E375" s="95">
        <v>0</v>
      </c>
      <c r="F375" s="95">
        <f t="shared" si="287"/>
        <v>969980000</v>
      </c>
      <c r="G375" s="63">
        <v>497615791</v>
      </c>
      <c r="H375" s="63">
        <v>13514000</v>
      </c>
      <c r="I375" s="63">
        <v>0</v>
      </c>
      <c r="J375" s="63">
        <f t="shared" si="280"/>
        <v>511129791</v>
      </c>
      <c r="K375" s="63"/>
      <c r="L375" s="80"/>
      <c r="M375" s="80"/>
      <c r="N375" s="63">
        <f t="shared" si="283"/>
        <v>0</v>
      </c>
      <c r="O375" s="47">
        <f t="shared" si="259"/>
        <v>497615791</v>
      </c>
      <c r="P375" s="63">
        <f t="shared" si="260"/>
        <v>13514000</v>
      </c>
      <c r="Q375" s="63">
        <f t="shared" si="261"/>
        <v>0</v>
      </c>
      <c r="R375" s="63">
        <f t="shared" si="262"/>
        <v>511129791</v>
      </c>
      <c r="S375" s="130">
        <f t="shared" si="281"/>
        <v>71.818466545433552</v>
      </c>
      <c r="T375" s="130">
        <f>P375/D375*100</f>
        <v>4.8769397329483937</v>
      </c>
      <c r="U375" s="130">
        <v>0</v>
      </c>
      <c r="V375" s="130">
        <f t="shared" si="282"/>
        <v>52.694879378956273</v>
      </c>
      <c r="W375" s="63">
        <f t="shared" si="279"/>
        <v>458850209</v>
      </c>
      <c r="X375" s="247">
        <f t="shared" si="286"/>
        <v>497615791</v>
      </c>
      <c r="Y375" s="247">
        <f t="shared" si="284"/>
        <v>13514000</v>
      </c>
      <c r="Z375" s="247">
        <f t="shared" si="285"/>
        <v>0</v>
      </c>
      <c r="AA375" s="93"/>
    </row>
    <row r="376" spans="1:27">
      <c r="A376" s="44" t="s">
        <v>252</v>
      </c>
      <c r="B376" s="45" t="s">
        <v>253</v>
      </c>
      <c r="C376" s="95">
        <v>8400000</v>
      </c>
      <c r="D376" s="95">
        <v>8400000</v>
      </c>
      <c r="E376" s="95">
        <v>0</v>
      </c>
      <c r="F376" s="95">
        <f t="shared" si="287"/>
        <v>16800000</v>
      </c>
      <c r="G376" s="121">
        <v>4200000</v>
      </c>
      <c r="H376" s="63">
        <v>4200000</v>
      </c>
      <c r="I376" s="63">
        <v>0</v>
      </c>
      <c r="J376" s="63">
        <f t="shared" si="280"/>
        <v>8400000</v>
      </c>
      <c r="K376" s="63"/>
      <c r="L376" s="80"/>
      <c r="M376" s="80"/>
      <c r="N376" s="63">
        <f t="shared" si="283"/>
        <v>0</v>
      </c>
      <c r="O376" s="47">
        <f t="shared" si="259"/>
        <v>4200000</v>
      </c>
      <c r="P376" s="63">
        <f t="shared" si="260"/>
        <v>4200000</v>
      </c>
      <c r="Q376" s="63">
        <f t="shared" si="261"/>
        <v>0</v>
      </c>
      <c r="R376" s="63">
        <f t="shared" si="262"/>
        <v>8400000</v>
      </c>
      <c r="S376" s="130">
        <f t="shared" si="281"/>
        <v>50</v>
      </c>
      <c r="T376" s="130">
        <f>P376/D376*100</f>
        <v>50</v>
      </c>
      <c r="U376" s="130">
        <v>0</v>
      </c>
      <c r="V376" s="130">
        <f t="shared" si="282"/>
        <v>50</v>
      </c>
      <c r="W376" s="63">
        <f t="shared" si="279"/>
        <v>8400000</v>
      </c>
      <c r="X376" s="247">
        <f t="shared" si="286"/>
        <v>4200000</v>
      </c>
      <c r="Y376" s="247">
        <f t="shared" si="284"/>
        <v>4200000</v>
      </c>
      <c r="Z376" s="247">
        <f t="shared" si="285"/>
        <v>0</v>
      </c>
      <c r="AA376" s="93"/>
    </row>
    <row r="377" spans="1:27">
      <c r="A377" s="44" t="s">
        <v>409</v>
      </c>
      <c r="B377" s="45" t="s">
        <v>410</v>
      </c>
      <c r="C377" s="95">
        <v>110010000</v>
      </c>
      <c r="D377" s="95">
        <v>0</v>
      </c>
      <c r="E377" s="95">
        <v>0</v>
      </c>
      <c r="F377" s="95">
        <f t="shared" si="287"/>
        <v>110010000</v>
      </c>
      <c r="G377" s="121">
        <v>102790000</v>
      </c>
      <c r="H377" s="63">
        <v>0</v>
      </c>
      <c r="I377" s="63">
        <v>0</v>
      </c>
      <c r="J377" s="63">
        <f t="shared" si="280"/>
        <v>102790000</v>
      </c>
      <c r="K377" s="63"/>
      <c r="L377" s="80"/>
      <c r="M377" s="80"/>
      <c r="N377" s="63">
        <f t="shared" si="283"/>
        <v>0</v>
      </c>
      <c r="O377" s="47">
        <f t="shared" si="259"/>
        <v>102790000</v>
      </c>
      <c r="P377" s="63">
        <f t="shared" si="260"/>
        <v>0</v>
      </c>
      <c r="Q377" s="63">
        <f t="shared" si="261"/>
        <v>0</v>
      </c>
      <c r="R377" s="63">
        <f t="shared" si="262"/>
        <v>102790000</v>
      </c>
      <c r="S377" s="130">
        <f t="shared" si="281"/>
        <v>93.43696027633851</v>
      </c>
      <c r="T377" s="130">
        <v>0</v>
      </c>
      <c r="U377" s="130">
        <v>0</v>
      </c>
      <c r="V377" s="130">
        <f t="shared" si="282"/>
        <v>93.43696027633851</v>
      </c>
      <c r="W377" s="63">
        <f t="shared" si="279"/>
        <v>7220000</v>
      </c>
      <c r="X377" s="247">
        <f t="shared" si="286"/>
        <v>102790000</v>
      </c>
      <c r="Y377" s="247">
        <f t="shared" si="284"/>
        <v>0</v>
      </c>
      <c r="Z377" s="247">
        <f t="shared" si="285"/>
        <v>0</v>
      </c>
      <c r="AA377" s="93"/>
    </row>
    <row r="378" spans="1:27">
      <c r="A378" s="44" t="s">
        <v>411</v>
      </c>
      <c r="B378" s="45" t="s">
        <v>412</v>
      </c>
      <c r="C378" s="95">
        <v>9401400</v>
      </c>
      <c r="D378" s="95">
        <v>0</v>
      </c>
      <c r="E378" s="95">
        <v>0</v>
      </c>
      <c r="F378" s="95">
        <f t="shared" si="287"/>
        <v>9401400</v>
      </c>
      <c r="G378" s="121">
        <v>9399480</v>
      </c>
      <c r="H378" s="63">
        <v>0</v>
      </c>
      <c r="I378" s="63">
        <v>0</v>
      </c>
      <c r="J378" s="63">
        <f t="shared" si="280"/>
        <v>9399480</v>
      </c>
      <c r="K378" s="63"/>
      <c r="L378" s="80"/>
      <c r="M378" s="80"/>
      <c r="N378" s="63">
        <f t="shared" si="283"/>
        <v>0</v>
      </c>
      <c r="O378" s="47">
        <f t="shared" ref="O378:O441" si="292">K378+G378</f>
        <v>9399480</v>
      </c>
      <c r="P378" s="63">
        <f t="shared" ref="P378:P441" si="293">L378+H378</f>
        <v>0</v>
      </c>
      <c r="Q378" s="63">
        <f t="shared" ref="Q378:Q441" si="294">M378+I378</f>
        <v>0</v>
      </c>
      <c r="R378" s="63">
        <f t="shared" ref="R378:R441" si="295">SUM(O378:Q378)</f>
        <v>9399480</v>
      </c>
      <c r="S378" s="130">
        <f t="shared" si="281"/>
        <v>99.979577509732593</v>
      </c>
      <c r="T378" s="130">
        <v>0</v>
      </c>
      <c r="U378" s="130">
        <v>0</v>
      </c>
      <c r="V378" s="130">
        <f t="shared" si="282"/>
        <v>99.979577509732593</v>
      </c>
      <c r="W378" s="63">
        <f t="shared" si="279"/>
        <v>1920</v>
      </c>
      <c r="X378" s="247">
        <f t="shared" si="286"/>
        <v>9399480</v>
      </c>
      <c r="Y378" s="247">
        <f t="shared" si="284"/>
        <v>0</v>
      </c>
      <c r="Z378" s="247">
        <f t="shared" si="285"/>
        <v>0</v>
      </c>
      <c r="AA378" s="93"/>
    </row>
    <row r="379" spans="1:27">
      <c r="A379" s="44" t="s">
        <v>413</v>
      </c>
      <c r="B379" s="45" t="s">
        <v>414</v>
      </c>
      <c r="C379" s="95">
        <v>11646500</v>
      </c>
      <c r="D379" s="95">
        <v>0</v>
      </c>
      <c r="E379" s="95">
        <v>0</v>
      </c>
      <c r="F379" s="95">
        <f t="shared" si="287"/>
        <v>11646500</v>
      </c>
      <c r="G379" s="121">
        <v>0</v>
      </c>
      <c r="H379" s="63">
        <v>0</v>
      </c>
      <c r="I379" s="63">
        <v>0</v>
      </c>
      <c r="J379" s="63">
        <f t="shared" si="280"/>
        <v>0</v>
      </c>
      <c r="K379" s="63"/>
      <c r="L379" s="80"/>
      <c r="M379" s="80"/>
      <c r="N379" s="63">
        <f t="shared" si="283"/>
        <v>0</v>
      </c>
      <c r="O379" s="47">
        <f t="shared" si="292"/>
        <v>0</v>
      </c>
      <c r="P379" s="63">
        <f t="shared" si="293"/>
        <v>0</v>
      </c>
      <c r="Q379" s="63">
        <f t="shared" si="294"/>
        <v>0</v>
      </c>
      <c r="R379" s="63">
        <f t="shared" si="295"/>
        <v>0</v>
      </c>
      <c r="S379" s="130">
        <f t="shared" si="281"/>
        <v>0</v>
      </c>
      <c r="T379" s="130">
        <v>0</v>
      </c>
      <c r="U379" s="130">
        <v>0</v>
      </c>
      <c r="V379" s="130">
        <f t="shared" si="282"/>
        <v>0</v>
      </c>
      <c r="W379" s="63">
        <f t="shared" si="279"/>
        <v>11646500</v>
      </c>
      <c r="X379" s="247">
        <f t="shared" si="286"/>
        <v>0</v>
      </c>
      <c r="Y379" s="247">
        <f t="shared" si="284"/>
        <v>0</v>
      </c>
      <c r="Z379" s="247">
        <f t="shared" si="285"/>
        <v>0</v>
      </c>
      <c r="AA379" s="93"/>
    </row>
    <row r="380" spans="1:27">
      <c r="A380" s="44" t="s">
        <v>279</v>
      </c>
      <c r="B380" s="45" t="s">
        <v>415</v>
      </c>
      <c r="C380" s="95">
        <v>5500000</v>
      </c>
      <c r="D380" s="95">
        <v>0</v>
      </c>
      <c r="E380" s="95">
        <v>0</v>
      </c>
      <c r="F380" s="95">
        <f t="shared" si="287"/>
        <v>5500000</v>
      </c>
      <c r="G380" s="121">
        <v>5495495</v>
      </c>
      <c r="H380" s="63">
        <v>0</v>
      </c>
      <c r="I380" s="63">
        <v>0</v>
      </c>
      <c r="J380" s="63">
        <f t="shared" si="280"/>
        <v>5495495</v>
      </c>
      <c r="K380" s="63"/>
      <c r="L380" s="80"/>
      <c r="M380" s="80"/>
      <c r="N380" s="63">
        <f t="shared" si="283"/>
        <v>0</v>
      </c>
      <c r="O380" s="47">
        <f t="shared" si="292"/>
        <v>5495495</v>
      </c>
      <c r="P380" s="63">
        <f t="shared" si="293"/>
        <v>0</v>
      </c>
      <c r="Q380" s="63">
        <f t="shared" si="294"/>
        <v>0</v>
      </c>
      <c r="R380" s="63">
        <f t="shared" si="295"/>
        <v>5495495</v>
      </c>
      <c r="S380" s="130">
        <f t="shared" si="281"/>
        <v>99.918090909090907</v>
      </c>
      <c r="T380" s="130">
        <v>0</v>
      </c>
      <c r="U380" s="130">
        <v>0</v>
      </c>
      <c r="V380" s="130">
        <f t="shared" si="282"/>
        <v>99.918090909090907</v>
      </c>
      <c r="W380" s="63">
        <f t="shared" si="279"/>
        <v>4505</v>
      </c>
      <c r="X380" s="247">
        <f t="shared" si="286"/>
        <v>5495495</v>
      </c>
      <c r="Y380" s="247">
        <f t="shared" si="284"/>
        <v>0</v>
      </c>
      <c r="Z380" s="247">
        <f t="shared" si="285"/>
        <v>0</v>
      </c>
      <c r="AA380" s="93"/>
    </row>
    <row r="381" spans="1:27">
      <c r="A381" s="44" t="s">
        <v>378</v>
      </c>
      <c r="B381" s="45" t="s">
        <v>416</v>
      </c>
      <c r="C381" s="95">
        <v>3086600</v>
      </c>
      <c r="D381" s="95">
        <v>0</v>
      </c>
      <c r="E381" s="95">
        <v>0</v>
      </c>
      <c r="F381" s="95">
        <f t="shared" si="287"/>
        <v>3086600</v>
      </c>
      <c r="G381" s="121">
        <v>0</v>
      </c>
      <c r="H381" s="63">
        <v>0</v>
      </c>
      <c r="I381" s="63">
        <v>0</v>
      </c>
      <c r="J381" s="63">
        <f t="shared" si="280"/>
        <v>0</v>
      </c>
      <c r="K381" s="63"/>
      <c r="L381" s="80"/>
      <c r="M381" s="80"/>
      <c r="N381" s="63">
        <f t="shared" si="283"/>
        <v>0</v>
      </c>
      <c r="O381" s="47">
        <f t="shared" si="292"/>
        <v>0</v>
      </c>
      <c r="P381" s="63">
        <f t="shared" si="293"/>
        <v>0</v>
      </c>
      <c r="Q381" s="63">
        <f t="shared" si="294"/>
        <v>0</v>
      </c>
      <c r="R381" s="63">
        <f t="shared" si="295"/>
        <v>0</v>
      </c>
      <c r="S381" s="130">
        <f t="shared" si="281"/>
        <v>0</v>
      </c>
      <c r="T381" s="130">
        <v>0</v>
      </c>
      <c r="U381" s="130">
        <v>0</v>
      </c>
      <c r="V381" s="130">
        <f t="shared" si="282"/>
        <v>0</v>
      </c>
      <c r="W381" s="63">
        <f t="shared" si="279"/>
        <v>3086600</v>
      </c>
      <c r="X381" s="247">
        <f t="shared" si="286"/>
        <v>0</v>
      </c>
      <c r="Y381" s="247">
        <f t="shared" si="284"/>
        <v>0</v>
      </c>
      <c r="Z381" s="247">
        <f t="shared" si="285"/>
        <v>0</v>
      </c>
      <c r="AA381" s="93"/>
    </row>
    <row r="382" spans="1:27">
      <c r="A382" s="44" t="s">
        <v>417</v>
      </c>
      <c r="B382" s="45" t="s">
        <v>418</v>
      </c>
      <c r="C382" s="95">
        <v>8605500</v>
      </c>
      <c r="D382" s="95">
        <v>0</v>
      </c>
      <c r="E382" s="95">
        <v>0</v>
      </c>
      <c r="F382" s="95">
        <f t="shared" si="287"/>
        <v>8605500</v>
      </c>
      <c r="G382" s="121">
        <v>8605500</v>
      </c>
      <c r="H382" s="63">
        <v>0</v>
      </c>
      <c r="I382" s="63">
        <v>0</v>
      </c>
      <c r="J382" s="63">
        <f t="shared" si="280"/>
        <v>8605500</v>
      </c>
      <c r="K382" s="63"/>
      <c r="L382" s="80"/>
      <c r="M382" s="80"/>
      <c r="N382" s="63">
        <f t="shared" si="283"/>
        <v>0</v>
      </c>
      <c r="O382" s="47">
        <f t="shared" si="292"/>
        <v>8605500</v>
      </c>
      <c r="P382" s="63">
        <f t="shared" si="293"/>
        <v>0</v>
      </c>
      <c r="Q382" s="63">
        <f t="shared" si="294"/>
        <v>0</v>
      </c>
      <c r="R382" s="63">
        <f t="shared" si="295"/>
        <v>8605500</v>
      </c>
      <c r="S382" s="130">
        <f t="shared" si="281"/>
        <v>100</v>
      </c>
      <c r="T382" s="130">
        <v>0</v>
      </c>
      <c r="U382" s="130">
        <v>0</v>
      </c>
      <c r="V382" s="130">
        <f t="shared" si="282"/>
        <v>100</v>
      </c>
      <c r="W382" s="63">
        <f t="shared" si="279"/>
        <v>0</v>
      </c>
      <c r="X382" s="247">
        <f t="shared" si="286"/>
        <v>8605500</v>
      </c>
      <c r="Y382" s="247">
        <f t="shared" si="284"/>
        <v>0</v>
      </c>
      <c r="Z382" s="247">
        <f t="shared" si="285"/>
        <v>0</v>
      </c>
      <c r="AA382" s="93"/>
    </row>
    <row r="383" spans="1:27">
      <c r="A383" s="44" t="s">
        <v>419</v>
      </c>
      <c r="B383" s="45" t="s">
        <v>420</v>
      </c>
      <c r="C383" s="95">
        <v>12906490</v>
      </c>
      <c r="D383" s="95">
        <v>0</v>
      </c>
      <c r="E383" s="95">
        <v>0</v>
      </c>
      <c r="F383" s="95">
        <f t="shared" si="287"/>
        <v>12906490</v>
      </c>
      <c r="G383" s="121">
        <v>12900400</v>
      </c>
      <c r="H383" s="63">
        <v>0</v>
      </c>
      <c r="I383" s="63">
        <v>0</v>
      </c>
      <c r="J383" s="63">
        <f t="shared" si="280"/>
        <v>12900400</v>
      </c>
      <c r="K383" s="63"/>
      <c r="L383" s="80"/>
      <c r="M383" s="80"/>
      <c r="N383" s="63">
        <f t="shared" si="283"/>
        <v>0</v>
      </c>
      <c r="O383" s="47">
        <f t="shared" si="292"/>
        <v>12900400</v>
      </c>
      <c r="P383" s="63">
        <f t="shared" si="293"/>
        <v>0</v>
      </c>
      <c r="Q383" s="63">
        <f t="shared" si="294"/>
        <v>0</v>
      </c>
      <c r="R383" s="63">
        <f t="shared" si="295"/>
        <v>12900400</v>
      </c>
      <c r="S383" s="130">
        <f t="shared" si="281"/>
        <v>99.952814436767852</v>
      </c>
      <c r="T383" s="130">
        <v>0</v>
      </c>
      <c r="U383" s="130">
        <v>0</v>
      </c>
      <c r="V383" s="130">
        <f t="shared" si="282"/>
        <v>99.952814436767852</v>
      </c>
      <c r="W383" s="63">
        <f t="shared" si="279"/>
        <v>6090</v>
      </c>
      <c r="X383" s="247">
        <f t="shared" si="286"/>
        <v>12900400</v>
      </c>
      <c r="Y383" s="247">
        <f t="shared" si="284"/>
        <v>0</v>
      </c>
      <c r="Z383" s="247">
        <f t="shared" si="285"/>
        <v>0</v>
      </c>
      <c r="AA383" s="93"/>
    </row>
    <row r="384" spans="1:27">
      <c r="A384" s="44" t="s">
        <v>421</v>
      </c>
      <c r="B384" s="45" t="s">
        <v>422</v>
      </c>
      <c r="C384" s="95">
        <v>39892800</v>
      </c>
      <c r="D384" s="95">
        <v>0</v>
      </c>
      <c r="E384" s="95">
        <v>0</v>
      </c>
      <c r="F384" s="95">
        <f t="shared" si="287"/>
        <v>39892800</v>
      </c>
      <c r="G384" s="121">
        <v>39890000</v>
      </c>
      <c r="H384" s="63">
        <v>0</v>
      </c>
      <c r="I384" s="63">
        <v>0</v>
      </c>
      <c r="J384" s="63">
        <f t="shared" si="280"/>
        <v>39890000</v>
      </c>
      <c r="K384" s="63"/>
      <c r="L384" s="80"/>
      <c r="M384" s="80"/>
      <c r="N384" s="63">
        <f t="shared" si="283"/>
        <v>0</v>
      </c>
      <c r="O384" s="47">
        <f t="shared" si="292"/>
        <v>39890000</v>
      </c>
      <c r="P384" s="63">
        <f t="shared" si="293"/>
        <v>0</v>
      </c>
      <c r="Q384" s="63">
        <f t="shared" si="294"/>
        <v>0</v>
      </c>
      <c r="R384" s="63">
        <f t="shared" si="295"/>
        <v>39890000</v>
      </c>
      <c r="S384" s="130">
        <f t="shared" si="281"/>
        <v>99.992981189588093</v>
      </c>
      <c r="T384" s="130">
        <v>0</v>
      </c>
      <c r="U384" s="130">
        <v>0</v>
      </c>
      <c r="V384" s="130">
        <f t="shared" si="282"/>
        <v>99.992981189588093</v>
      </c>
      <c r="W384" s="63">
        <f t="shared" si="279"/>
        <v>2800</v>
      </c>
      <c r="X384" s="247">
        <f t="shared" si="286"/>
        <v>39890000</v>
      </c>
      <c r="Y384" s="247">
        <f t="shared" si="284"/>
        <v>0</v>
      </c>
      <c r="Z384" s="247">
        <f t="shared" si="285"/>
        <v>0</v>
      </c>
      <c r="AA384" s="93"/>
    </row>
    <row r="385" spans="1:27">
      <c r="A385" s="44" t="s">
        <v>423</v>
      </c>
      <c r="B385" s="45" t="s">
        <v>424</v>
      </c>
      <c r="C385" s="95">
        <v>156000000</v>
      </c>
      <c r="D385" s="95">
        <v>0</v>
      </c>
      <c r="E385" s="95">
        <v>0</v>
      </c>
      <c r="F385" s="95">
        <f t="shared" si="287"/>
        <v>156000000</v>
      </c>
      <c r="G385" s="121">
        <v>0</v>
      </c>
      <c r="H385" s="63">
        <v>0</v>
      </c>
      <c r="I385" s="63">
        <v>0</v>
      </c>
      <c r="J385" s="63">
        <f t="shared" si="280"/>
        <v>0</v>
      </c>
      <c r="K385" s="63"/>
      <c r="L385" s="80"/>
      <c r="M385" s="80"/>
      <c r="N385" s="63">
        <f t="shared" si="283"/>
        <v>0</v>
      </c>
      <c r="O385" s="47">
        <f t="shared" si="292"/>
        <v>0</v>
      </c>
      <c r="P385" s="63">
        <f t="shared" si="293"/>
        <v>0</v>
      </c>
      <c r="Q385" s="63">
        <f t="shared" si="294"/>
        <v>0</v>
      </c>
      <c r="R385" s="63">
        <f t="shared" si="295"/>
        <v>0</v>
      </c>
      <c r="S385" s="130">
        <f t="shared" si="281"/>
        <v>0</v>
      </c>
      <c r="T385" s="130">
        <v>0</v>
      </c>
      <c r="U385" s="130">
        <v>0</v>
      </c>
      <c r="V385" s="130">
        <f t="shared" si="282"/>
        <v>0</v>
      </c>
      <c r="W385" s="63">
        <f t="shared" si="279"/>
        <v>156000000</v>
      </c>
      <c r="X385" s="247">
        <f t="shared" si="286"/>
        <v>0</v>
      </c>
      <c r="Y385" s="247">
        <f t="shared" si="284"/>
        <v>0</v>
      </c>
      <c r="Z385" s="247">
        <f t="shared" si="285"/>
        <v>0</v>
      </c>
      <c r="AA385" s="93"/>
    </row>
    <row r="386" spans="1:27">
      <c r="A386" s="44" t="s">
        <v>381</v>
      </c>
      <c r="B386" s="45" t="s">
        <v>212</v>
      </c>
      <c r="C386" s="95">
        <v>1478851880</v>
      </c>
      <c r="D386" s="95">
        <v>0</v>
      </c>
      <c r="E386" s="95">
        <v>0</v>
      </c>
      <c r="F386" s="95">
        <f t="shared" si="287"/>
        <v>1478851880</v>
      </c>
      <c r="G386" s="121">
        <v>316667233</v>
      </c>
      <c r="H386" s="63">
        <v>0</v>
      </c>
      <c r="I386" s="63">
        <v>0</v>
      </c>
      <c r="J386" s="63">
        <f t="shared" si="280"/>
        <v>316667233</v>
      </c>
      <c r="K386" s="63"/>
      <c r="L386" s="80"/>
      <c r="M386" s="80"/>
      <c r="N386" s="63">
        <f t="shared" si="283"/>
        <v>0</v>
      </c>
      <c r="O386" s="47">
        <f t="shared" si="292"/>
        <v>316667233</v>
      </c>
      <c r="P386" s="63">
        <f t="shared" si="293"/>
        <v>0</v>
      </c>
      <c r="Q386" s="63">
        <f t="shared" si="294"/>
        <v>0</v>
      </c>
      <c r="R386" s="63">
        <f t="shared" si="295"/>
        <v>316667233</v>
      </c>
      <c r="S386" s="130">
        <f t="shared" si="281"/>
        <v>21.413045977261767</v>
      </c>
      <c r="T386" s="130">
        <v>0</v>
      </c>
      <c r="U386" s="130">
        <v>0</v>
      </c>
      <c r="V386" s="130">
        <f t="shared" si="282"/>
        <v>21.413045977261767</v>
      </c>
      <c r="W386" s="63">
        <f t="shared" si="279"/>
        <v>1162184647</v>
      </c>
      <c r="X386" s="247">
        <f t="shared" si="286"/>
        <v>316667233</v>
      </c>
      <c r="Y386" s="247">
        <f t="shared" si="284"/>
        <v>0</v>
      </c>
      <c r="Z386" s="247">
        <f t="shared" si="285"/>
        <v>0</v>
      </c>
      <c r="AA386" s="93"/>
    </row>
    <row r="387" spans="1:27">
      <c r="A387" s="44" t="s">
        <v>425</v>
      </c>
      <c r="B387" s="45" t="s">
        <v>426</v>
      </c>
      <c r="C387" s="46">
        <v>2100000000</v>
      </c>
      <c r="D387" s="46">
        <v>0</v>
      </c>
      <c r="E387" s="46">
        <v>0</v>
      </c>
      <c r="F387" s="46">
        <f t="shared" si="287"/>
        <v>2100000000</v>
      </c>
      <c r="G387" s="48">
        <v>0</v>
      </c>
      <c r="H387" s="47">
        <v>0</v>
      </c>
      <c r="I387" s="47">
        <v>0</v>
      </c>
      <c r="J387" s="47">
        <f t="shared" si="280"/>
        <v>0</v>
      </c>
      <c r="K387" s="47"/>
      <c r="L387" s="47"/>
      <c r="M387" s="47"/>
      <c r="N387" s="47">
        <f t="shared" si="283"/>
        <v>0</v>
      </c>
      <c r="O387" s="47">
        <f t="shared" si="292"/>
        <v>0</v>
      </c>
      <c r="P387" s="47">
        <f t="shared" si="293"/>
        <v>0</v>
      </c>
      <c r="Q387" s="47">
        <f t="shared" si="294"/>
        <v>0</v>
      </c>
      <c r="R387" s="47">
        <f t="shared" si="295"/>
        <v>0</v>
      </c>
      <c r="S387" s="79">
        <f t="shared" si="281"/>
        <v>0</v>
      </c>
      <c r="T387" s="79">
        <v>0</v>
      </c>
      <c r="U387" s="79">
        <v>0</v>
      </c>
      <c r="V387" s="79">
        <f t="shared" si="282"/>
        <v>0</v>
      </c>
      <c r="W387" s="47">
        <f t="shared" si="279"/>
        <v>2100000000</v>
      </c>
      <c r="X387" s="247">
        <f t="shared" si="286"/>
        <v>0</v>
      </c>
      <c r="Y387" s="247">
        <f t="shared" si="284"/>
        <v>0</v>
      </c>
      <c r="Z387" s="247">
        <f t="shared" si="285"/>
        <v>0</v>
      </c>
      <c r="AA387" s="93"/>
    </row>
    <row r="388" spans="1:27" s="15" customFormat="1" ht="18">
      <c r="A388" s="135"/>
      <c r="B388" s="134" t="s">
        <v>23</v>
      </c>
      <c r="C388" s="136">
        <f>C389+C458</f>
        <v>2802512814</v>
      </c>
      <c r="D388" s="136">
        <f>D389+D458</f>
        <v>0</v>
      </c>
      <c r="E388" s="136">
        <f>E389+E458</f>
        <v>0</v>
      </c>
      <c r="F388" s="136">
        <f t="shared" si="287"/>
        <v>2802512814</v>
      </c>
      <c r="G388" s="136">
        <f t="shared" ref="G388:I388" si="296">G389+G458</f>
        <v>1695924671</v>
      </c>
      <c r="H388" s="136">
        <f t="shared" si="296"/>
        <v>0</v>
      </c>
      <c r="I388" s="136">
        <f t="shared" si="296"/>
        <v>0</v>
      </c>
      <c r="J388" s="136">
        <f t="shared" si="280"/>
        <v>1695924671</v>
      </c>
      <c r="K388" s="136">
        <f t="shared" ref="K388:M388" si="297">K389+K458</f>
        <v>0</v>
      </c>
      <c r="L388" s="136">
        <f t="shared" si="297"/>
        <v>0</v>
      </c>
      <c r="M388" s="136">
        <f t="shared" si="297"/>
        <v>0</v>
      </c>
      <c r="N388" s="136">
        <f t="shared" si="283"/>
        <v>0</v>
      </c>
      <c r="O388" s="136">
        <f t="shared" si="292"/>
        <v>1695924671</v>
      </c>
      <c r="P388" s="136">
        <f t="shared" si="293"/>
        <v>0</v>
      </c>
      <c r="Q388" s="136">
        <f t="shared" si="294"/>
        <v>0</v>
      </c>
      <c r="R388" s="136">
        <f t="shared" si="295"/>
        <v>1695924671</v>
      </c>
      <c r="S388" s="139">
        <f t="shared" si="281"/>
        <v>60.514430568451985</v>
      </c>
      <c r="T388" s="139">
        <v>0</v>
      </c>
      <c r="U388" s="139">
        <v>0</v>
      </c>
      <c r="V388" s="139">
        <f t="shared" si="282"/>
        <v>60.514430568451985</v>
      </c>
      <c r="W388" s="136">
        <f t="shared" si="279"/>
        <v>1106588143</v>
      </c>
      <c r="X388" s="247">
        <f t="shared" si="286"/>
        <v>1695924671</v>
      </c>
      <c r="Y388" s="247">
        <f t="shared" si="284"/>
        <v>0</v>
      </c>
      <c r="Z388" s="247">
        <f t="shared" si="285"/>
        <v>0</v>
      </c>
      <c r="AA388" s="93"/>
    </row>
    <row r="389" spans="1:27" s="16" customFormat="1" ht="18">
      <c r="A389" s="35" t="s">
        <v>35</v>
      </c>
      <c r="B389" s="125" t="s">
        <v>36</v>
      </c>
      <c r="C389" s="117">
        <f>C390+C400+C404+C427+C435+C448+C394</f>
        <v>1640203774</v>
      </c>
      <c r="D389" s="117">
        <f>D390+D400+D404+D427+D435+D448</f>
        <v>0</v>
      </c>
      <c r="E389" s="117">
        <f>E390+E400+E404+E427+E435+E448</f>
        <v>0</v>
      </c>
      <c r="F389" s="117">
        <f t="shared" si="287"/>
        <v>1640203774</v>
      </c>
      <c r="G389" s="117">
        <f>G390+G400+G404+G427+G435+G448+G394</f>
        <v>1026932641</v>
      </c>
      <c r="H389" s="117">
        <f t="shared" ref="H389:I389" si="298">H390+H400+H404+H427+H435+H448</f>
        <v>0</v>
      </c>
      <c r="I389" s="117">
        <f t="shared" si="298"/>
        <v>0</v>
      </c>
      <c r="J389" s="117">
        <f t="shared" si="280"/>
        <v>1026932641</v>
      </c>
      <c r="K389" s="117">
        <f>K390+K400+K404+K427+K435+K448+K394</f>
        <v>0</v>
      </c>
      <c r="L389" s="117">
        <f t="shared" ref="L389:M389" si="299">L390+L400+L404+L427+L435+L448</f>
        <v>0</v>
      </c>
      <c r="M389" s="117">
        <f t="shared" si="299"/>
        <v>0</v>
      </c>
      <c r="N389" s="117">
        <f t="shared" si="283"/>
        <v>0</v>
      </c>
      <c r="O389" s="117">
        <f t="shared" si="292"/>
        <v>1026932641</v>
      </c>
      <c r="P389" s="117">
        <f t="shared" si="293"/>
        <v>0</v>
      </c>
      <c r="Q389" s="117">
        <f t="shared" si="294"/>
        <v>0</v>
      </c>
      <c r="R389" s="117">
        <f t="shared" si="295"/>
        <v>1026932641</v>
      </c>
      <c r="S389" s="128">
        <f t="shared" si="281"/>
        <v>62.610064510191762</v>
      </c>
      <c r="T389" s="128">
        <v>0</v>
      </c>
      <c r="U389" s="128">
        <v>0</v>
      </c>
      <c r="V389" s="128">
        <f t="shared" si="282"/>
        <v>62.610064510191762</v>
      </c>
      <c r="W389" s="117">
        <f t="shared" si="279"/>
        <v>613271133</v>
      </c>
      <c r="X389" s="247">
        <f t="shared" si="286"/>
        <v>1026932641</v>
      </c>
      <c r="Y389" s="247">
        <f t="shared" si="284"/>
        <v>0</v>
      </c>
      <c r="Z389" s="247">
        <f t="shared" si="285"/>
        <v>0</v>
      </c>
      <c r="AA389" s="93"/>
    </row>
    <row r="390" spans="1:27" s="17" customFormat="1" ht="20.25" customHeight="1">
      <c r="A390" s="38" t="s">
        <v>37</v>
      </c>
      <c r="B390" s="137" t="s">
        <v>38</v>
      </c>
      <c r="C390" s="118">
        <f>C391</f>
        <v>84960000</v>
      </c>
      <c r="D390" s="118">
        <f>D391</f>
        <v>0</v>
      </c>
      <c r="E390" s="118">
        <f>E391</f>
        <v>0</v>
      </c>
      <c r="F390" s="118">
        <f t="shared" si="287"/>
        <v>84960000</v>
      </c>
      <c r="G390" s="118">
        <f t="shared" ref="G390:I390" si="300">G391</f>
        <v>56640000</v>
      </c>
      <c r="H390" s="118">
        <f t="shared" si="300"/>
        <v>0</v>
      </c>
      <c r="I390" s="118">
        <f t="shared" si="300"/>
        <v>0</v>
      </c>
      <c r="J390" s="118">
        <f t="shared" si="280"/>
        <v>56640000</v>
      </c>
      <c r="K390" s="118">
        <f t="shared" ref="K390:M390" si="301">K391</f>
        <v>0</v>
      </c>
      <c r="L390" s="118">
        <f t="shared" si="301"/>
        <v>0</v>
      </c>
      <c r="M390" s="118">
        <f t="shared" si="301"/>
        <v>0</v>
      </c>
      <c r="N390" s="118">
        <f t="shared" si="283"/>
        <v>0</v>
      </c>
      <c r="O390" s="118">
        <f t="shared" si="292"/>
        <v>56640000</v>
      </c>
      <c r="P390" s="118">
        <f t="shared" si="293"/>
        <v>0</v>
      </c>
      <c r="Q390" s="118">
        <f t="shared" si="294"/>
        <v>0</v>
      </c>
      <c r="R390" s="118">
        <f t="shared" si="295"/>
        <v>56640000</v>
      </c>
      <c r="S390" s="129">
        <f t="shared" si="281"/>
        <v>66.666666666666657</v>
      </c>
      <c r="T390" s="129">
        <v>0</v>
      </c>
      <c r="U390" s="129">
        <v>0</v>
      </c>
      <c r="V390" s="129">
        <f t="shared" si="282"/>
        <v>66.666666666666657</v>
      </c>
      <c r="W390" s="118">
        <f t="shared" si="279"/>
        <v>28320000</v>
      </c>
      <c r="X390" s="247">
        <f t="shared" si="286"/>
        <v>56640000</v>
      </c>
      <c r="Y390" s="247">
        <f t="shared" si="284"/>
        <v>0</v>
      </c>
      <c r="Z390" s="247">
        <f t="shared" si="285"/>
        <v>0</v>
      </c>
      <c r="AA390" s="93"/>
    </row>
    <row r="391" spans="1:27" s="8" customFormat="1">
      <c r="A391" s="96" t="s">
        <v>86</v>
      </c>
      <c r="B391" s="96" t="s">
        <v>87</v>
      </c>
      <c r="C391" s="138">
        <f>SUM(C392:C393)</f>
        <v>84960000</v>
      </c>
      <c r="D391" s="138">
        <f t="shared" ref="D391:E391" si="302">SUM(D392:D392)</f>
        <v>0</v>
      </c>
      <c r="E391" s="138">
        <f t="shared" si="302"/>
        <v>0</v>
      </c>
      <c r="F391" s="138">
        <f t="shared" si="287"/>
        <v>84960000</v>
      </c>
      <c r="G391" s="138">
        <f>SUM(G392:G393)</f>
        <v>56640000</v>
      </c>
      <c r="H391" s="138">
        <f t="shared" ref="H391:I391" si="303">SUM(H392:H393)</f>
        <v>0</v>
      </c>
      <c r="I391" s="138">
        <f t="shared" si="303"/>
        <v>0</v>
      </c>
      <c r="J391" s="138">
        <f t="shared" si="280"/>
        <v>56640000</v>
      </c>
      <c r="K391" s="138">
        <f>SUM(K392:K393)</f>
        <v>0</v>
      </c>
      <c r="L391" s="138">
        <f t="shared" ref="L391:M391" si="304">SUM(L392:L393)</f>
        <v>0</v>
      </c>
      <c r="M391" s="138">
        <f t="shared" si="304"/>
        <v>0</v>
      </c>
      <c r="N391" s="138">
        <f>SUM(K391:M391)</f>
        <v>0</v>
      </c>
      <c r="O391" s="138">
        <f t="shared" si="292"/>
        <v>56640000</v>
      </c>
      <c r="P391" s="138">
        <f t="shared" si="293"/>
        <v>0</v>
      </c>
      <c r="Q391" s="138">
        <f t="shared" si="294"/>
        <v>0</v>
      </c>
      <c r="R391" s="138">
        <f t="shared" si="295"/>
        <v>56640000</v>
      </c>
      <c r="S391" s="140">
        <f t="shared" si="281"/>
        <v>66.666666666666657</v>
      </c>
      <c r="T391" s="140">
        <v>0</v>
      </c>
      <c r="U391" s="140">
        <v>0</v>
      </c>
      <c r="V391" s="140">
        <f t="shared" si="282"/>
        <v>66.666666666666657</v>
      </c>
      <c r="W391" s="138">
        <f t="shared" si="279"/>
        <v>28320000</v>
      </c>
      <c r="X391" s="247">
        <f t="shared" si="286"/>
        <v>56640000</v>
      </c>
      <c r="Y391" s="247">
        <f t="shared" si="284"/>
        <v>0</v>
      </c>
      <c r="Z391" s="247">
        <f t="shared" si="285"/>
        <v>0</v>
      </c>
      <c r="AA391" s="93"/>
    </row>
    <row r="392" spans="1:27">
      <c r="A392" s="97" t="s">
        <v>88</v>
      </c>
      <c r="B392" s="97" t="s">
        <v>89</v>
      </c>
      <c r="C392" s="46">
        <v>78120000</v>
      </c>
      <c r="D392" s="46">
        <v>0</v>
      </c>
      <c r="E392" s="46">
        <v>0</v>
      </c>
      <c r="F392" s="46">
        <f t="shared" si="287"/>
        <v>78120000</v>
      </c>
      <c r="G392" s="63">
        <v>52080000</v>
      </c>
      <c r="H392" s="47">
        <v>0</v>
      </c>
      <c r="I392" s="47">
        <v>0</v>
      </c>
      <c r="J392" s="47">
        <f t="shared" si="280"/>
        <v>52080000</v>
      </c>
      <c r="K392" s="63"/>
      <c r="L392" s="47"/>
      <c r="M392" s="47"/>
      <c r="N392" s="47">
        <f t="shared" si="283"/>
        <v>0</v>
      </c>
      <c r="O392" s="47">
        <f t="shared" si="292"/>
        <v>52080000</v>
      </c>
      <c r="P392" s="47">
        <f t="shared" si="293"/>
        <v>0</v>
      </c>
      <c r="Q392" s="47">
        <f t="shared" si="294"/>
        <v>0</v>
      </c>
      <c r="R392" s="47">
        <f t="shared" si="295"/>
        <v>52080000</v>
      </c>
      <c r="S392" s="79">
        <f t="shared" si="281"/>
        <v>66.666666666666657</v>
      </c>
      <c r="T392" s="79">
        <v>0</v>
      </c>
      <c r="U392" s="79">
        <v>0</v>
      </c>
      <c r="V392" s="79">
        <f t="shared" si="282"/>
        <v>66.666666666666657</v>
      </c>
      <c r="W392" s="47">
        <f t="shared" si="279"/>
        <v>26040000</v>
      </c>
      <c r="X392" s="247">
        <f t="shared" si="286"/>
        <v>52080000</v>
      </c>
      <c r="Y392" s="247">
        <f t="shared" si="284"/>
        <v>0</v>
      </c>
      <c r="Z392" s="247">
        <f t="shared" si="285"/>
        <v>0</v>
      </c>
      <c r="AA392" s="93"/>
    </row>
    <row r="393" spans="1:27">
      <c r="A393" s="97" t="s">
        <v>435</v>
      </c>
      <c r="B393" s="97" t="s">
        <v>436</v>
      </c>
      <c r="C393" s="46">
        <v>6840000</v>
      </c>
      <c r="D393" s="46">
        <v>0</v>
      </c>
      <c r="E393" s="46">
        <v>0</v>
      </c>
      <c r="F393" s="46">
        <f t="shared" si="287"/>
        <v>6840000</v>
      </c>
      <c r="G393" s="63">
        <v>4560000</v>
      </c>
      <c r="H393" s="47">
        <v>0</v>
      </c>
      <c r="I393" s="47">
        <v>0</v>
      </c>
      <c r="J393" s="47">
        <f t="shared" si="280"/>
        <v>4560000</v>
      </c>
      <c r="K393" s="63"/>
      <c r="L393" s="47"/>
      <c r="M393" s="47"/>
      <c r="N393" s="47">
        <f t="shared" si="283"/>
        <v>0</v>
      </c>
      <c r="O393" s="47">
        <f t="shared" si="292"/>
        <v>4560000</v>
      </c>
      <c r="P393" s="47">
        <f t="shared" si="293"/>
        <v>0</v>
      </c>
      <c r="Q393" s="47">
        <f t="shared" si="294"/>
        <v>0</v>
      </c>
      <c r="R393" s="47">
        <f t="shared" si="295"/>
        <v>4560000</v>
      </c>
      <c r="S393" s="79">
        <f t="shared" si="281"/>
        <v>66.666666666666657</v>
      </c>
      <c r="T393" s="79">
        <v>0</v>
      </c>
      <c r="U393" s="79">
        <v>0</v>
      </c>
      <c r="V393" s="79">
        <f t="shared" si="282"/>
        <v>66.666666666666657</v>
      </c>
      <c r="W393" s="47">
        <f t="shared" si="279"/>
        <v>2280000</v>
      </c>
      <c r="X393" s="247">
        <f t="shared" si="286"/>
        <v>4560000</v>
      </c>
      <c r="Y393" s="247">
        <f t="shared" si="284"/>
        <v>0</v>
      </c>
      <c r="Z393" s="247">
        <f t="shared" si="285"/>
        <v>0</v>
      </c>
      <c r="AA393" s="93"/>
    </row>
    <row r="394" spans="1:27" s="17" customFormat="1" ht="20.25" customHeight="1">
      <c r="A394" s="38" t="s">
        <v>466</v>
      </c>
      <c r="B394" s="137" t="s">
        <v>38</v>
      </c>
      <c r="C394" s="118">
        <f>C395</f>
        <v>3000000</v>
      </c>
      <c r="D394" s="118">
        <f>D395</f>
        <v>0</v>
      </c>
      <c r="E394" s="118">
        <f>E395</f>
        <v>0</v>
      </c>
      <c r="F394" s="118">
        <f t="shared" si="287"/>
        <v>3000000</v>
      </c>
      <c r="G394" s="118">
        <f t="shared" ref="G394:I394" si="305">G395</f>
        <v>2938000</v>
      </c>
      <c r="H394" s="118">
        <f t="shared" si="305"/>
        <v>0</v>
      </c>
      <c r="I394" s="118">
        <f t="shared" si="305"/>
        <v>0</v>
      </c>
      <c r="J394" s="118">
        <f t="shared" si="280"/>
        <v>2938000</v>
      </c>
      <c r="K394" s="118">
        <f t="shared" ref="K394:M394" si="306">K395</f>
        <v>0</v>
      </c>
      <c r="L394" s="118">
        <f t="shared" si="306"/>
        <v>0</v>
      </c>
      <c r="M394" s="118">
        <f t="shared" si="306"/>
        <v>0</v>
      </c>
      <c r="N394" s="118">
        <f t="shared" si="283"/>
        <v>0</v>
      </c>
      <c r="O394" s="118">
        <f t="shared" si="292"/>
        <v>2938000</v>
      </c>
      <c r="P394" s="118">
        <f t="shared" si="293"/>
        <v>0</v>
      </c>
      <c r="Q394" s="118">
        <f t="shared" si="294"/>
        <v>0</v>
      </c>
      <c r="R394" s="118">
        <f t="shared" si="295"/>
        <v>2938000</v>
      </c>
      <c r="S394" s="129">
        <f t="shared" si="281"/>
        <v>97.933333333333323</v>
      </c>
      <c r="T394" s="129">
        <v>0</v>
      </c>
      <c r="U394" s="129">
        <v>0</v>
      </c>
      <c r="V394" s="129">
        <f t="shared" si="282"/>
        <v>97.933333333333323</v>
      </c>
      <c r="W394" s="118">
        <f t="shared" si="279"/>
        <v>62000</v>
      </c>
      <c r="X394" s="247">
        <f t="shared" si="286"/>
        <v>2938000</v>
      </c>
      <c r="Y394" s="247">
        <f t="shared" si="284"/>
        <v>0</v>
      </c>
      <c r="Z394" s="247">
        <f t="shared" si="285"/>
        <v>0</v>
      </c>
      <c r="AA394" s="93"/>
    </row>
    <row r="395" spans="1:27" s="8" customFormat="1">
      <c r="A395" s="96" t="s">
        <v>467</v>
      </c>
      <c r="B395" s="96" t="s">
        <v>468</v>
      </c>
      <c r="C395" s="138">
        <f>SUM(C396:C399)</f>
        <v>3000000</v>
      </c>
      <c r="D395" s="138">
        <f t="shared" ref="D395:E395" si="307">SUM(D396:D396)</f>
        <v>0</v>
      </c>
      <c r="E395" s="138">
        <f t="shared" si="307"/>
        <v>0</v>
      </c>
      <c r="F395" s="138">
        <f t="shared" si="287"/>
        <v>3000000</v>
      </c>
      <c r="G395" s="138">
        <f>SUM(G396:G399)</f>
        <v>2938000</v>
      </c>
      <c r="H395" s="138">
        <f t="shared" ref="H395:I395" si="308">SUM(H396:H399)</f>
        <v>0</v>
      </c>
      <c r="I395" s="138">
        <f t="shared" si="308"/>
        <v>0</v>
      </c>
      <c r="J395" s="138">
        <f t="shared" si="280"/>
        <v>2938000</v>
      </c>
      <c r="K395" s="138">
        <f>SUM(K396:K399)</f>
        <v>0</v>
      </c>
      <c r="L395" s="138">
        <f t="shared" ref="L395:M395" si="309">SUM(L396:L399)</f>
        <v>0</v>
      </c>
      <c r="M395" s="138">
        <f t="shared" si="309"/>
        <v>0</v>
      </c>
      <c r="N395" s="138">
        <f t="shared" si="283"/>
        <v>0</v>
      </c>
      <c r="O395" s="138">
        <f t="shared" si="292"/>
        <v>2938000</v>
      </c>
      <c r="P395" s="138">
        <f t="shared" si="293"/>
        <v>0</v>
      </c>
      <c r="Q395" s="138">
        <f t="shared" si="294"/>
        <v>0</v>
      </c>
      <c r="R395" s="138">
        <f t="shared" si="295"/>
        <v>2938000</v>
      </c>
      <c r="S395" s="140">
        <f t="shared" si="281"/>
        <v>97.933333333333323</v>
      </c>
      <c r="T395" s="140">
        <v>0</v>
      </c>
      <c r="U395" s="140">
        <v>0</v>
      </c>
      <c r="V395" s="140">
        <f t="shared" si="282"/>
        <v>97.933333333333323</v>
      </c>
      <c r="W395" s="138">
        <f t="shared" si="279"/>
        <v>62000</v>
      </c>
      <c r="X395" s="247">
        <f t="shared" si="286"/>
        <v>2938000</v>
      </c>
      <c r="Y395" s="247">
        <f t="shared" si="284"/>
        <v>0</v>
      </c>
      <c r="Z395" s="247">
        <f t="shared" si="285"/>
        <v>0</v>
      </c>
      <c r="AA395" s="93"/>
    </row>
    <row r="396" spans="1:27">
      <c r="A396" s="97" t="s">
        <v>110</v>
      </c>
      <c r="B396" s="97" t="s">
        <v>391</v>
      </c>
      <c r="C396" s="46">
        <v>80</v>
      </c>
      <c r="D396" s="46">
        <v>0</v>
      </c>
      <c r="E396" s="46">
        <v>0</v>
      </c>
      <c r="F396" s="46">
        <f t="shared" si="287"/>
        <v>80</v>
      </c>
      <c r="G396" s="63"/>
      <c r="H396" s="47"/>
      <c r="I396" s="47"/>
      <c r="J396" s="47">
        <f t="shared" si="280"/>
        <v>0</v>
      </c>
      <c r="K396" s="63"/>
      <c r="L396" s="47"/>
      <c r="M396" s="47"/>
      <c r="N396" s="47">
        <f t="shared" si="283"/>
        <v>0</v>
      </c>
      <c r="O396" s="47">
        <f t="shared" si="292"/>
        <v>0</v>
      </c>
      <c r="P396" s="47">
        <f t="shared" si="293"/>
        <v>0</v>
      </c>
      <c r="Q396" s="47">
        <f t="shared" si="294"/>
        <v>0</v>
      </c>
      <c r="R396" s="47">
        <f t="shared" si="295"/>
        <v>0</v>
      </c>
      <c r="S396" s="79">
        <f t="shared" si="281"/>
        <v>0</v>
      </c>
      <c r="T396" s="79">
        <v>0</v>
      </c>
      <c r="U396" s="79">
        <v>0</v>
      </c>
      <c r="V396" s="79">
        <f t="shared" si="282"/>
        <v>0</v>
      </c>
      <c r="W396" s="47">
        <f t="shared" si="279"/>
        <v>80</v>
      </c>
      <c r="X396" s="247">
        <f t="shared" si="286"/>
        <v>0</v>
      </c>
      <c r="Y396" s="247">
        <f t="shared" si="284"/>
        <v>0</v>
      </c>
      <c r="Z396" s="247">
        <f t="shared" si="285"/>
        <v>0</v>
      </c>
      <c r="AA396" s="93"/>
    </row>
    <row r="397" spans="1:27">
      <c r="A397" s="97" t="s">
        <v>373</v>
      </c>
      <c r="B397" s="97" t="s">
        <v>374</v>
      </c>
      <c r="C397" s="46">
        <v>808800</v>
      </c>
      <c r="D397" s="46">
        <v>0</v>
      </c>
      <c r="E397" s="46">
        <v>0</v>
      </c>
      <c r="F397" s="46">
        <f t="shared" si="287"/>
        <v>808800</v>
      </c>
      <c r="G397" s="63">
        <v>775000</v>
      </c>
      <c r="H397" s="47"/>
      <c r="I397" s="47"/>
      <c r="J397" s="47">
        <f t="shared" si="280"/>
        <v>775000</v>
      </c>
      <c r="K397" s="63"/>
      <c r="L397" s="47"/>
      <c r="M397" s="47"/>
      <c r="N397" s="47">
        <f t="shared" si="283"/>
        <v>0</v>
      </c>
      <c r="O397" s="47">
        <f t="shared" si="292"/>
        <v>775000</v>
      </c>
      <c r="P397" s="47">
        <f t="shared" si="293"/>
        <v>0</v>
      </c>
      <c r="Q397" s="47">
        <f t="shared" si="294"/>
        <v>0</v>
      </c>
      <c r="R397" s="47">
        <f t="shared" si="295"/>
        <v>775000</v>
      </c>
      <c r="S397" s="79">
        <f t="shared" si="281"/>
        <v>95.82096933728981</v>
      </c>
      <c r="T397" s="79">
        <v>0</v>
      </c>
      <c r="U397" s="79">
        <v>0</v>
      </c>
      <c r="V397" s="79">
        <f t="shared" si="282"/>
        <v>95.82096933728981</v>
      </c>
      <c r="W397" s="47">
        <f t="shared" si="279"/>
        <v>33800</v>
      </c>
      <c r="X397" s="247">
        <f t="shared" si="286"/>
        <v>775000</v>
      </c>
      <c r="Y397" s="247">
        <f t="shared" si="284"/>
        <v>0</v>
      </c>
      <c r="Z397" s="247">
        <f t="shared" si="285"/>
        <v>0</v>
      </c>
      <c r="AA397" s="93"/>
    </row>
    <row r="398" spans="1:27">
      <c r="A398" s="97" t="s">
        <v>112</v>
      </c>
      <c r="B398" s="97" t="s">
        <v>439</v>
      </c>
      <c r="C398" s="46">
        <v>1101920</v>
      </c>
      <c r="D398" s="46">
        <v>0</v>
      </c>
      <c r="E398" s="46">
        <v>0</v>
      </c>
      <c r="F398" s="46">
        <f t="shared" si="287"/>
        <v>1101920</v>
      </c>
      <c r="G398" s="63">
        <v>1074000</v>
      </c>
      <c r="H398" s="47"/>
      <c r="I398" s="47"/>
      <c r="J398" s="47">
        <f t="shared" si="280"/>
        <v>1074000</v>
      </c>
      <c r="K398" s="63"/>
      <c r="L398" s="47"/>
      <c r="M398" s="47"/>
      <c r="N398" s="47">
        <f t="shared" si="283"/>
        <v>0</v>
      </c>
      <c r="O398" s="47">
        <f t="shared" si="292"/>
        <v>1074000</v>
      </c>
      <c r="P398" s="47">
        <f t="shared" si="293"/>
        <v>0</v>
      </c>
      <c r="Q398" s="47">
        <f t="shared" si="294"/>
        <v>0</v>
      </c>
      <c r="R398" s="47">
        <f t="shared" si="295"/>
        <v>1074000</v>
      </c>
      <c r="S398" s="79">
        <f t="shared" si="281"/>
        <v>97.466240743429651</v>
      </c>
      <c r="T398" s="79">
        <v>0</v>
      </c>
      <c r="U398" s="79">
        <v>0</v>
      </c>
      <c r="V398" s="79">
        <f t="shared" si="282"/>
        <v>97.466240743429651</v>
      </c>
      <c r="W398" s="47">
        <f t="shared" si="279"/>
        <v>27920</v>
      </c>
      <c r="X398" s="247">
        <f t="shared" si="286"/>
        <v>1074000</v>
      </c>
      <c r="Y398" s="247">
        <f t="shared" si="284"/>
        <v>0</v>
      </c>
      <c r="Z398" s="247">
        <f t="shared" si="285"/>
        <v>0</v>
      </c>
      <c r="AA398" s="93"/>
    </row>
    <row r="399" spans="1:27">
      <c r="A399" s="97" t="s">
        <v>114</v>
      </c>
      <c r="B399" s="97" t="s">
        <v>364</v>
      </c>
      <c r="C399" s="46">
        <v>1089200</v>
      </c>
      <c r="D399" s="46">
        <v>0</v>
      </c>
      <c r="E399" s="46">
        <v>0</v>
      </c>
      <c r="F399" s="46">
        <f t="shared" si="287"/>
        <v>1089200</v>
      </c>
      <c r="G399" s="63">
        <v>1089000</v>
      </c>
      <c r="H399" s="47"/>
      <c r="I399" s="47"/>
      <c r="J399" s="47">
        <f t="shared" si="280"/>
        <v>1089000</v>
      </c>
      <c r="K399" s="63"/>
      <c r="L399" s="47"/>
      <c r="M399" s="47"/>
      <c r="N399" s="47">
        <f t="shared" si="283"/>
        <v>0</v>
      </c>
      <c r="O399" s="47">
        <f t="shared" si="292"/>
        <v>1089000</v>
      </c>
      <c r="P399" s="47">
        <f t="shared" si="293"/>
        <v>0</v>
      </c>
      <c r="Q399" s="47">
        <f t="shared" si="294"/>
        <v>0</v>
      </c>
      <c r="R399" s="47">
        <f t="shared" si="295"/>
        <v>1089000</v>
      </c>
      <c r="S399" s="79">
        <f t="shared" si="281"/>
        <v>99.981637899375684</v>
      </c>
      <c r="T399" s="79">
        <v>0</v>
      </c>
      <c r="U399" s="79">
        <v>0</v>
      </c>
      <c r="V399" s="79">
        <f t="shared" si="282"/>
        <v>99.981637899375684</v>
      </c>
      <c r="W399" s="47">
        <f t="shared" si="279"/>
        <v>200</v>
      </c>
      <c r="X399" s="247">
        <f t="shared" si="286"/>
        <v>1089000</v>
      </c>
      <c r="Y399" s="247">
        <f t="shared" si="284"/>
        <v>0</v>
      </c>
      <c r="Z399" s="247">
        <f t="shared" si="285"/>
        <v>0</v>
      </c>
      <c r="AA399" s="93"/>
    </row>
    <row r="400" spans="1:27" s="9" customFormat="1" ht="16.5" customHeight="1">
      <c r="A400" s="38" t="s">
        <v>92</v>
      </c>
      <c r="B400" s="137" t="s">
        <v>93</v>
      </c>
      <c r="C400" s="101">
        <f>C401</f>
        <v>183000000</v>
      </c>
      <c r="D400" s="101">
        <f>D401</f>
        <v>0</v>
      </c>
      <c r="E400" s="101">
        <f>E401</f>
        <v>0</v>
      </c>
      <c r="F400" s="101">
        <f t="shared" si="287"/>
        <v>183000000</v>
      </c>
      <c r="G400" s="101">
        <f t="shared" ref="G400:I400" si="310">G401</f>
        <v>178505984</v>
      </c>
      <c r="H400" s="101">
        <f t="shared" si="310"/>
        <v>0</v>
      </c>
      <c r="I400" s="101">
        <f t="shared" si="310"/>
        <v>0</v>
      </c>
      <c r="J400" s="101">
        <f t="shared" si="280"/>
        <v>178505984</v>
      </c>
      <c r="K400" s="101">
        <f t="shared" ref="K400:M400" si="311">K401</f>
        <v>0</v>
      </c>
      <c r="L400" s="101">
        <f t="shared" si="311"/>
        <v>0</v>
      </c>
      <c r="M400" s="101">
        <f t="shared" si="311"/>
        <v>0</v>
      </c>
      <c r="N400" s="101">
        <f t="shared" si="283"/>
        <v>0</v>
      </c>
      <c r="O400" s="101">
        <f t="shared" si="292"/>
        <v>178505984</v>
      </c>
      <c r="P400" s="101">
        <f t="shared" si="293"/>
        <v>0</v>
      </c>
      <c r="Q400" s="101">
        <f t="shared" si="294"/>
        <v>0</v>
      </c>
      <c r="R400" s="101">
        <f t="shared" si="295"/>
        <v>178505984</v>
      </c>
      <c r="S400" s="104">
        <f t="shared" si="281"/>
        <v>97.544253551912561</v>
      </c>
      <c r="T400" s="104">
        <v>0</v>
      </c>
      <c r="U400" s="104">
        <v>0</v>
      </c>
      <c r="V400" s="104">
        <f t="shared" si="282"/>
        <v>97.544253551912561</v>
      </c>
      <c r="W400" s="101">
        <f t="shared" si="279"/>
        <v>4494016</v>
      </c>
      <c r="X400" s="247">
        <f t="shared" si="286"/>
        <v>178505984</v>
      </c>
      <c r="Y400" s="247">
        <f t="shared" si="284"/>
        <v>0</v>
      </c>
      <c r="Z400" s="247">
        <f t="shared" si="285"/>
        <v>0</v>
      </c>
      <c r="AA400" s="93"/>
    </row>
    <row r="401" spans="1:27" s="5" customFormat="1">
      <c r="A401" s="96" t="s">
        <v>96</v>
      </c>
      <c r="B401" s="96" t="s">
        <v>97</v>
      </c>
      <c r="C401" s="60">
        <f>SUM(C402:C403)</f>
        <v>183000000</v>
      </c>
      <c r="D401" s="60">
        <f>SUM(D402:D403)</f>
        <v>0</v>
      </c>
      <c r="E401" s="60">
        <f>SUM(E402:E403)</f>
        <v>0</v>
      </c>
      <c r="F401" s="60">
        <f t="shared" si="287"/>
        <v>183000000</v>
      </c>
      <c r="G401" s="60">
        <f t="shared" ref="G401:I401" si="312">SUM(G402:G403)</f>
        <v>178505984</v>
      </c>
      <c r="H401" s="60">
        <f t="shared" si="312"/>
        <v>0</v>
      </c>
      <c r="I401" s="60">
        <f t="shared" si="312"/>
        <v>0</v>
      </c>
      <c r="J401" s="60">
        <f t="shared" si="280"/>
        <v>178505984</v>
      </c>
      <c r="K401" s="60">
        <f t="shared" ref="K401:M401" si="313">SUM(K402:K403)</f>
        <v>0</v>
      </c>
      <c r="L401" s="60">
        <f t="shared" si="313"/>
        <v>0</v>
      </c>
      <c r="M401" s="60">
        <f t="shared" si="313"/>
        <v>0</v>
      </c>
      <c r="N401" s="60">
        <f t="shared" si="283"/>
        <v>0</v>
      </c>
      <c r="O401" s="60">
        <f t="shared" si="292"/>
        <v>178505984</v>
      </c>
      <c r="P401" s="60">
        <f t="shared" si="293"/>
        <v>0</v>
      </c>
      <c r="Q401" s="60">
        <f t="shared" si="294"/>
        <v>0</v>
      </c>
      <c r="R401" s="60">
        <f t="shared" si="295"/>
        <v>178505984</v>
      </c>
      <c r="S401" s="84">
        <f t="shared" si="281"/>
        <v>97.544253551912561</v>
      </c>
      <c r="T401" s="84">
        <v>0</v>
      </c>
      <c r="U401" s="84">
        <v>0</v>
      </c>
      <c r="V401" s="84">
        <f t="shared" si="282"/>
        <v>97.544253551912561</v>
      </c>
      <c r="W401" s="60">
        <f t="shared" si="279"/>
        <v>4494016</v>
      </c>
      <c r="X401" s="247">
        <f t="shared" si="286"/>
        <v>178505984</v>
      </c>
      <c r="Y401" s="247">
        <f t="shared" si="284"/>
        <v>0</v>
      </c>
      <c r="Z401" s="247">
        <f t="shared" si="285"/>
        <v>0</v>
      </c>
      <c r="AA401" s="93"/>
    </row>
    <row r="402" spans="1:27">
      <c r="A402" s="97" t="s">
        <v>469</v>
      </c>
      <c r="B402" s="97" t="s">
        <v>99</v>
      </c>
      <c r="C402" s="46">
        <v>66000000</v>
      </c>
      <c r="D402" s="46">
        <v>0</v>
      </c>
      <c r="E402" s="46">
        <v>0</v>
      </c>
      <c r="F402" s="46">
        <f t="shared" si="287"/>
        <v>66000000</v>
      </c>
      <c r="G402" s="48">
        <v>61550000</v>
      </c>
      <c r="H402" s="47">
        <v>0</v>
      </c>
      <c r="I402" s="47">
        <v>0</v>
      </c>
      <c r="J402" s="47">
        <f t="shared" si="280"/>
        <v>61550000</v>
      </c>
      <c r="K402" s="47"/>
      <c r="L402" s="47"/>
      <c r="M402" s="47"/>
      <c r="N402" s="47">
        <f t="shared" si="283"/>
        <v>0</v>
      </c>
      <c r="O402" s="47">
        <f t="shared" si="292"/>
        <v>61550000</v>
      </c>
      <c r="P402" s="47">
        <f t="shared" si="293"/>
        <v>0</v>
      </c>
      <c r="Q402" s="47">
        <f t="shared" si="294"/>
        <v>0</v>
      </c>
      <c r="R402" s="47">
        <f t="shared" si="295"/>
        <v>61550000</v>
      </c>
      <c r="S402" s="79">
        <f t="shared" si="281"/>
        <v>93.257575757575765</v>
      </c>
      <c r="T402" s="79">
        <v>0</v>
      </c>
      <c r="U402" s="79">
        <v>0</v>
      </c>
      <c r="V402" s="79">
        <f t="shared" si="282"/>
        <v>93.257575757575765</v>
      </c>
      <c r="W402" s="47">
        <f t="shared" si="279"/>
        <v>4450000</v>
      </c>
      <c r="X402" s="247">
        <f t="shared" si="286"/>
        <v>61550000</v>
      </c>
      <c r="Y402" s="247">
        <f t="shared" si="284"/>
        <v>0</v>
      </c>
      <c r="Z402" s="247">
        <f t="shared" si="285"/>
        <v>0</v>
      </c>
      <c r="AA402" s="93"/>
    </row>
    <row r="403" spans="1:27">
      <c r="A403" s="97" t="s">
        <v>100</v>
      </c>
      <c r="B403" s="97" t="s">
        <v>101</v>
      </c>
      <c r="C403" s="46">
        <v>117000000</v>
      </c>
      <c r="D403" s="46">
        <v>0</v>
      </c>
      <c r="E403" s="46">
        <v>0</v>
      </c>
      <c r="F403" s="46">
        <f t="shared" si="287"/>
        <v>117000000</v>
      </c>
      <c r="G403" s="48">
        <v>116955984</v>
      </c>
      <c r="H403" s="47">
        <v>0</v>
      </c>
      <c r="I403" s="47">
        <v>0</v>
      </c>
      <c r="J403" s="47">
        <f t="shared" si="280"/>
        <v>116955984</v>
      </c>
      <c r="K403" s="47"/>
      <c r="L403" s="47"/>
      <c r="M403" s="47"/>
      <c r="N403" s="47">
        <f t="shared" si="283"/>
        <v>0</v>
      </c>
      <c r="O403" s="47">
        <f t="shared" si="292"/>
        <v>116955984</v>
      </c>
      <c r="P403" s="47">
        <f t="shared" si="293"/>
        <v>0</v>
      </c>
      <c r="Q403" s="47">
        <f t="shared" si="294"/>
        <v>0</v>
      </c>
      <c r="R403" s="47">
        <f t="shared" si="295"/>
        <v>116955984</v>
      </c>
      <c r="S403" s="79">
        <f t="shared" si="281"/>
        <v>99.96237948717949</v>
      </c>
      <c r="T403" s="79">
        <v>0</v>
      </c>
      <c r="U403" s="79">
        <v>0</v>
      </c>
      <c r="V403" s="79">
        <f t="shared" si="282"/>
        <v>99.96237948717949</v>
      </c>
      <c r="W403" s="47">
        <f t="shared" ref="W403:W467" si="314">F403-R403</f>
        <v>44016</v>
      </c>
      <c r="X403" s="247">
        <f t="shared" si="286"/>
        <v>116955984</v>
      </c>
      <c r="Y403" s="247">
        <f t="shared" si="284"/>
        <v>0</v>
      </c>
      <c r="Z403" s="247">
        <f t="shared" si="285"/>
        <v>0</v>
      </c>
      <c r="AA403" s="93"/>
    </row>
    <row r="404" spans="1:27" s="9" customFormat="1" ht="16.5" customHeight="1">
      <c r="A404" s="38" t="s">
        <v>102</v>
      </c>
      <c r="B404" s="137" t="s">
        <v>103</v>
      </c>
      <c r="C404" s="101">
        <f>C405+C408+C417+C420+C423+C425</f>
        <v>342927200</v>
      </c>
      <c r="D404" s="101">
        <f>D405+D408+D417+D420+D423+D425</f>
        <v>0</v>
      </c>
      <c r="E404" s="101">
        <f>E405+E408+E417+E420+E423+E425</f>
        <v>0</v>
      </c>
      <c r="F404" s="101">
        <f t="shared" si="287"/>
        <v>342927200</v>
      </c>
      <c r="G404" s="101">
        <f t="shared" ref="G404:I404" si="315">G405+G408+G417+G420+G423+G425</f>
        <v>256707952</v>
      </c>
      <c r="H404" s="101">
        <f t="shared" si="315"/>
        <v>0</v>
      </c>
      <c r="I404" s="101">
        <f t="shared" si="315"/>
        <v>0</v>
      </c>
      <c r="J404" s="101">
        <f t="shared" ref="J404:J468" si="316">G404+H404+I404</f>
        <v>256707952</v>
      </c>
      <c r="K404" s="101">
        <f>K405+K408+K417+K420+K423+K425</f>
        <v>0</v>
      </c>
      <c r="L404" s="101">
        <f t="shared" ref="L404:M404" si="317">L405+L408+L417+L420+L423+L425</f>
        <v>0</v>
      </c>
      <c r="M404" s="101">
        <f t="shared" si="317"/>
        <v>0</v>
      </c>
      <c r="N404" s="101">
        <f t="shared" si="283"/>
        <v>0</v>
      </c>
      <c r="O404" s="101">
        <f t="shared" si="292"/>
        <v>256707952</v>
      </c>
      <c r="P404" s="101">
        <f t="shared" si="293"/>
        <v>0</v>
      </c>
      <c r="Q404" s="101">
        <f t="shared" si="294"/>
        <v>0</v>
      </c>
      <c r="R404" s="101">
        <f t="shared" si="295"/>
        <v>256707952</v>
      </c>
      <c r="S404" s="104">
        <f t="shared" ref="S404:S468" si="318">O404/C404*100</f>
        <v>74.857856711278657</v>
      </c>
      <c r="T404" s="104">
        <v>0</v>
      </c>
      <c r="U404" s="104">
        <v>0</v>
      </c>
      <c r="V404" s="104">
        <f t="shared" ref="V404:V468" si="319">R404/F404*100</f>
        <v>74.857856711278657</v>
      </c>
      <c r="W404" s="101">
        <f t="shared" si="314"/>
        <v>86219248</v>
      </c>
      <c r="X404" s="247">
        <f t="shared" si="286"/>
        <v>256707952</v>
      </c>
      <c r="Y404" s="247">
        <f t="shared" si="284"/>
        <v>0</v>
      </c>
      <c r="Z404" s="247">
        <f t="shared" si="285"/>
        <v>0</v>
      </c>
      <c r="AA404" s="93"/>
    </row>
    <row r="405" spans="1:27" s="5" customFormat="1">
      <c r="A405" s="96" t="s">
        <v>104</v>
      </c>
      <c r="B405" s="96" t="s">
        <v>105</v>
      </c>
      <c r="C405" s="60">
        <f>SUM(C406:C407)</f>
        <v>4055500</v>
      </c>
      <c r="D405" s="60">
        <f t="shared" ref="D405:M405" si="320">SUM(D406:D406)</f>
        <v>0</v>
      </c>
      <c r="E405" s="60">
        <f t="shared" si="320"/>
        <v>0</v>
      </c>
      <c r="F405" s="60">
        <f t="shared" si="287"/>
        <v>4055500</v>
      </c>
      <c r="G405" s="60">
        <f>SUM(G406:G407)</f>
        <v>4039068</v>
      </c>
      <c r="H405" s="60">
        <f t="shared" ref="H405:I405" si="321">SUM(H406:H407)</f>
        <v>0</v>
      </c>
      <c r="I405" s="60">
        <f t="shared" si="321"/>
        <v>0</v>
      </c>
      <c r="J405" s="60">
        <f t="shared" si="316"/>
        <v>4039068</v>
      </c>
      <c r="K405" s="60">
        <f t="shared" ref="K405" si="322">SUM(K406:K407)</f>
        <v>0</v>
      </c>
      <c r="L405" s="60">
        <f t="shared" si="320"/>
        <v>0</v>
      </c>
      <c r="M405" s="60">
        <f t="shared" si="320"/>
        <v>0</v>
      </c>
      <c r="N405" s="60">
        <f t="shared" ref="N405:N469" si="323">SUM(K405:M405)</f>
        <v>0</v>
      </c>
      <c r="O405" s="60">
        <f t="shared" si="292"/>
        <v>4039068</v>
      </c>
      <c r="P405" s="60">
        <f t="shared" si="293"/>
        <v>0</v>
      </c>
      <c r="Q405" s="60">
        <f t="shared" si="294"/>
        <v>0</v>
      </c>
      <c r="R405" s="60">
        <f t="shared" si="295"/>
        <v>4039068</v>
      </c>
      <c r="S405" s="84">
        <f t="shared" si="318"/>
        <v>99.594821846874609</v>
      </c>
      <c r="T405" s="84">
        <v>0</v>
      </c>
      <c r="U405" s="84">
        <v>0</v>
      </c>
      <c r="V405" s="84">
        <f t="shared" si="319"/>
        <v>99.594821846874609</v>
      </c>
      <c r="W405" s="60">
        <f t="shared" si="314"/>
        <v>16432</v>
      </c>
      <c r="X405" s="247">
        <f t="shared" si="286"/>
        <v>4039068</v>
      </c>
      <c r="Y405" s="247">
        <f t="shared" si="284"/>
        <v>0</v>
      </c>
      <c r="Z405" s="247">
        <f t="shared" si="285"/>
        <v>0</v>
      </c>
      <c r="AA405" s="93"/>
    </row>
    <row r="406" spans="1:27">
      <c r="A406" s="97" t="s">
        <v>110</v>
      </c>
      <c r="B406" s="97" t="s">
        <v>391</v>
      </c>
      <c r="C406" s="98">
        <v>1100</v>
      </c>
      <c r="D406" s="46">
        <v>0</v>
      </c>
      <c r="E406" s="46">
        <v>0</v>
      </c>
      <c r="F406" s="46">
        <f t="shared" si="287"/>
        <v>1100</v>
      </c>
      <c r="G406" s="63"/>
      <c r="H406" s="47"/>
      <c r="I406" s="47"/>
      <c r="J406" s="47">
        <f t="shared" si="316"/>
        <v>0</v>
      </c>
      <c r="K406" s="47"/>
      <c r="L406" s="47"/>
      <c r="M406" s="47"/>
      <c r="N406" s="47">
        <f t="shared" si="323"/>
        <v>0</v>
      </c>
      <c r="O406" s="47">
        <f t="shared" si="292"/>
        <v>0</v>
      </c>
      <c r="P406" s="47">
        <f t="shared" si="293"/>
        <v>0</v>
      </c>
      <c r="Q406" s="47">
        <f t="shared" si="294"/>
        <v>0</v>
      </c>
      <c r="R406" s="47">
        <f t="shared" si="295"/>
        <v>0</v>
      </c>
      <c r="S406" s="79">
        <f t="shared" si="318"/>
        <v>0</v>
      </c>
      <c r="T406" s="79">
        <v>0</v>
      </c>
      <c r="U406" s="79">
        <v>0</v>
      </c>
      <c r="V406" s="79">
        <f t="shared" si="319"/>
        <v>0</v>
      </c>
      <c r="W406" s="47">
        <f t="shared" si="314"/>
        <v>1100</v>
      </c>
      <c r="X406" s="247">
        <f t="shared" si="286"/>
        <v>0</v>
      </c>
      <c r="Y406" s="247">
        <f t="shared" si="284"/>
        <v>0</v>
      </c>
      <c r="Z406" s="247">
        <f t="shared" si="285"/>
        <v>0</v>
      </c>
      <c r="AA406" s="93"/>
    </row>
    <row r="407" spans="1:27">
      <c r="A407" s="97" t="s">
        <v>106</v>
      </c>
      <c r="B407" s="97" t="s">
        <v>308</v>
      </c>
      <c r="C407" s="98">
        <v>4054400</v>
      </c>
      <c r="D407" s="46">
        <v>0</v>
      </c>
      <c r="E407" s="46">
        <v>0</v>
      </c>
      <c r="F407" s="46">
        <f t="shared" si="287"/>
        <v>4054400</v>
      </c>
      <c r="G407" s="47">
        <v>4039068</v>
      </c>
      <c r="H407" s="47"/>
      <c r="I407" s="47"/>
      <c r="J407" s="47">
        <f t="shared" si="316"/>
        <v>4039068</v>
      </c>
      <c r="K407" s="47"/>
      <c r="L407" s="47"/>
      <c r="M407" s="47"/>
      <c r="N407" s="47">
        <f t="shared" si="323"/>
        <v>0</v>
      </c>
      <c r="O407" s="47">
        <f t="shared" si="292"/>
        <v>4039068</v>
      </c>
      <c r="P407" s="47">
        <f t="shared" si="293"/>
        <v>0</v>
      </c>
      <c r="Q407" s="47">
        <f t="shared" si="294"/>
        <v>0</v>
      </c>
      <c r="R407" s="47">
        <f t="shared" si="295"/>
        <v>4039068</v>
      </c>
      <c r="S407" s="79">
        <f t="shared" si="318"/>
        <v>99.621842936069456</v>
      </c>
      <c r="T407" s="79">
        <v>0</v>
      </c>
      <c r="U407" s="79">
        <v>0</v>
      </c>
      <c r="V407" s="79">
        <f t="shared" si="319"/>
        <v>99.621842936069456</v>
      </c>
      <c r="W407" s="47">
        <f t="shared" si="314"/>
        <v>15332</v>
      </c>
      <c r="X407" s="247">
        <f t="shared" si="286"/>
        <v>4039068</v>
      </c>
      <c r="Y407" s="247">
        <f t="shared" si="284"/>
        <v>0</v>
      </c>
      <c r="Z407" s="247">
        <f t="shared" si="285"/>
        <v>0</v>
      </c>
      <c r="AA407" s="93"/>
    </row>
    <row r="408" spans="1:27" s="7" customFormat="1">
      <c r="A408" s="96" t="s">
        <v>108</v>
      </c>
      <c r="B408" s="96" t="s">
        <v>109</v>
      </c>
      <c r="C408" s="60">
        <f>SUM(C409:C416)</f>
        <v>118434900</v>
      </c>
      <c r="D408" s="60">
        <f>SUM(D409:D415)</f>
        <v>0</v>
      </c>
      <c r="E408" s="60">
        <f>SUM(E409:E415)</f>
        <v>0</v>
      </c>
      <c r="F408" s="60">
        <f t="shared" si="287"/>
        <v>118434900</v>
      </c>
      <c r="G408" s="60">
        <f t="shared" ref="G408:I408" si="324">SUM(G409:G416)</f>
        <v>104348384</v>
      </c>
      <c r="H408" s="60">
        <f t="shared" si="324"/>
        <v>0</v>
      </c>
      <c r="I408" s="60">
        <f t="shared" si="324"/>
        <v>0</v>
      </c>
      <c r="J408" s="60">
        <f t="shared" si="316"/>
        <v>104348384</v>
      </c>
      <c r="K408" s="60">
        <f>SUM(K409:K416)</f>
        <v>0</v>
      </c>
      <c r="L408" s="60">
        <f t="shared" ref="L408:M408" si="325">SUM(L409:L416)</f>
        <v>0</v>
      </c>
      <c r="M408" s="60">
        <f t="shared" si="325"/>
        <v>0</v>
      </c>
      <c r="N408" s="60">
        <f t="shared" si="323"/>
        <v>0</v>
      </c>
      <c r="O408" s="60">
        <f t="shared" si="292"/>
        <v>104348384</v>
      </c>
      <c r="P408" s="60">
        <f t="shared" si="293"/>
        <v>0</v>
      </c>
      <c r="Q408" s="60">
        <f t="shared" si="294"/>
        <v>0</v>
      </c>
      <c r="R408" s="60">
        <f t="shared" si="295"/>
        <v>104348384</v>
      </c>
      <c r="S408" s="84">
        <f t="shared" si="318"/>
        <v>88.106110614354378</v>
      </c>
      <c r="T408" s="84">
        <v>0</v>
      </c>
      <c r="U408" s="84">
        <v>0</v>
      </c>
      <c r="V408" s="84">
        <f t="shared" si="319"/>
        <v>88.106110614354378</v>
      </c>
      <c r="W408" s="60">
        <f t="shared" si="314"/>
        <v>14086516</v>
      </c>
      <c r="X408" s="247">
        <f t="shared" si="286"/>
        <v>104348384</v>
      </c>
      <c r="Y408" s="247">
        <f t="shared" ref="Y408:Y472" si="326">H408+L408</f>
        <v>0</v>
      </c>
      <c r="Z408" s="247">
        <f t="shared" ref="Z408:Z472" si="327">I408+M408</f>
        <v>0</v>
      </c>
      <c r="AA408" s="93"/>
    </row>
    <row r="409" spans="1:27">
      <c r="A409" s="44" t="s">
        <v>123</v>
      </c>
      <c r="B409" s="45" t="s">
        <v>111</v>
      </c>
      <c r="C409" s="98">
        <v>18743680</v>
      </c>
      <c r="D409" s="46">
        <v>0</v>
      </c>
      <c r="E409" s="46">
        <v>0</v>
      </c>
      <c r="F409" s="46">
        <f t="shared" si="287"/>
        <v>18743680</v>
      </c>
      <c r="G409" s="63">
        <v>17995875</v>
      </c>
      <c r="H409" s="47">
        <v>0</v>
      </c>
      <c r="I409" s="47">
        <v>0</v>
      </c>
      <c r="J409" s="47">
        <f t="shared" si="316"/>
        <v>17995875</v>
      </c>
      <c r="K409" s="47"/>
      <c r="L409" s="47"/>
      <c r="M409" s="47"/>
      <c r="N409" s="47">
        <f t="shared" si="323"/>
        <v>0</v>
      </c>
      <c r="O409" s="47">
        <f t="shared" si="292"/>
        <v>17995875</v>
      </c>
      <c r="P409" s="47">
        <f t="shared" si="293"/>
        <v>0</v>
      </c>
      <c r="Q409" s="47">
        <f t="shared" si="294"/>
        <v>0</v>
      </c>
      <c r="R409" s="47">
        <f t="shared" si="295"/>
        <v>17995875</v>
      </c>
      <c r="S409" s="79">
        <f t="shared" si="318"/>
        <v>96.010361892648604</v>
      </c>
      <c r="T409" s="79">
        <v>0</v>
      </c>
      <c r="U409" s="79">
        <v>0</v>
      </c>
      <c r="V409" s="79">
        <f t="shared" si="319"/>
        <v>96.010361892648604</v>
      </c>
      <c r="W409" s="47">
        <f t="shared" si="314"/>
        <v>747805</v>
      </c>
      <c r="X409" s="247">
        <f t="shared" ref="X409:X473" si="328">G409+K409</f>
        <v>17995875</v>
      </c>
      <c r="Y409" s="247">
        <f t="shared" si="326"/>
        <v>0</v>
      </c>
      <c r="Z409" s="247">
        <f t="shared" si="327"/>
        <v>0</v>
      </c>
      <c r="AA409" s="93"/>
    </row>
    <row r="410" spans="1:27">
      <c r="A410" s="44" t="s">
        <v>373</v>
      </c>
      <c r="B410" s="45" t="s">
        <v>374</v>
      </c>
      <c r="C410" s="98">
        <v>12809000</v>
      </c>
      <c r="D410" s="46">
        <v>0</v>
      </c>
      <c r="E410" s="46">
        <v>0</v>
      </c>
      <c r="F410" s="46">
        <f t="shared" si="287"/>
        <v>12809000</v>
      </c>
      <c r="G410" s="63">
        <v>12496380</v>
      </c>
      <c r="H410" s="47">
        <v>0</v>
      </c>
      <c r="I410" s="47">
        <v>0</v>
      </c>
      <c r="J410" s="47">
        <f t="shared" si="316"/>
        <v>12496380</v>
      </c>
      <c r="K410" s="47"/>
      <c r="L410" s="47"/>
      <c r="M410" s="47"/>
      <c r="N410" s="47">
        <f t="shared" si="323"/>
        <v>0</v>
      </c>
      <c r="O410" s="47">
        <f t="shared" si="292"/>
        <v>12496380</v>
      </c>
      <c r="P410" s="47">
        <f t="shared" si="293"/>
        <v>0</v>
      </c>
      <c r="Q410" s="47">
        <f t="shared" si="294"/>
        <v>0</v>
      </c>
      <c r="R410" s="47">
        <f t="shared" si="295"/>
        <v>12496380</v>
      </c>
      <c r="S410" s="79">
        <f t="shared" si="318"/>
        <v>97.559372316340074</v>
      </c>
      <c r="T410" s="79">
        <v>0</v>
      </c>
      <c r="U410" s="79">
        <v>0</v>
      </c>
      <c r="V410" s="79">
        <f t="shared" si="319"/>
        <v>97.559372316340074</v>
      </c>
      <c r="W410" s="47">
        <f t="shared" si="314"/>
        <v>312620</v>
      </c>
      <c r="X410" s="247">
        <f t="shared" si="328"/>
        <v>12496380</v>
      </c>
      <c r="Y410" s="247">
        <f t="shared" si="326"/>
        <v>0</v>
      </c>
      <c r="Z410" s="247">
        <f t="shared" si="327"/>
        <v>0</v>
      </c>
      <c r="AA410" s="93"/>
    </row>
    <row r="411" spans="1:27">
      <c r="A411" s="44" t="s">
        <v>128</v>
      </c>
      <c r="B411" s="45" t="s">
        <v>113</v>
      </c>
      <c r="C411" s="98">
        <v>18878000</v>
      </c>
      <c r="D411" s="46">
        <v>0</v>
      </c>
      <c r="E411" s="46">
        <v>0</v>
      </c>
      <c r="F411" s="46">
        <f t="shared" ref="F411:F475" si="329">C411+D411+E411</f>
        <v>18878000</v>
      </c>
      <c r="G411" s="63">
        <v>11533060</v>
      </c>
      <c r="H411" s="47">
        <v>0</v>
      </c>
      <c r="I411" s="47">
        <v>0</v>
      </c>
      <c r="J411" s="47">
        <f t="shared" si="316"/>
        <v>11533060</v>
      </c>
      <c r="K411" s="47"/>
      <c r="L411" s="47"/>
      <c r="M411" s="47"/>
      <c r="N411" s="47">
        <f t="shared" si="323"/>
        <v>0</v>
      </c>
      <c r="O411" s="47">
        <f t="shared" si="292"/>
        <v>11533060</v>
      </c>
      <c r="P411" s="47">
        <f t="shared" si="293"/>
        <v>0</v>
      </c>
      <c r="Q411" s="47">
        <f t="shared" si="294"/>
        <v>0</v>
      </c>
      <c r="R411" s="47">
        <f t="shared" si="295"/>
        <v>11533060</v>
      </c>
      <c r="S411" s="79">
        <f t="shared" si="318"/>
        <v>61.092594554507897</v>
      </c>
      <c r="T411" s="79">
        <v>0</v>
      </c>
      <c r="U411" s="79">
        <v>0</v>
      </c>
      <c r="V411" s="79">
        <f t="shared" si="319"/>
        <v>61.092594554507897</v>
      </c>
      <c r="W411" s="47">
        <f t="shared" si="314"/>
        <v>7344940</v>
      </c>
      <c r="X411" s="247">
        <f t="shared" si="328"/>
        <v>11533060</v>
      </c>
      <c r="Y411" s="247">
        <f t="shared" si="326"/>
        <v>0</v>
      </c>
      <c r="Z411" s="247">
        <f t="shared" si="327"/>
        <v>0</v>
      </c>
      <c r="AA411" s="93"/>
    </row>
    <row r="412" spans="1:27">
      <c r="A412" s="44" t="s">
        <v>114</v>
      </c>
      <c r="B412" s="45" t="s">
        <v>364</v>
      </c>
      <c r="C412" s="98">
        <v>9736375</v>
      </c>
      <c r="D412" s="46">
        <v>0</v>
      </c>
      <c r="E412" s="46">
        <v>0</v>
      </c>
      <c r="F412" s="46">
        <f t="shared" si="329"/>
        <v>9736375</v>
      </c>
      <c r="G412" s="63">
        <v>4118655</v>
      </c>
      <c r="H412" s="47">
        <v>0</v>
      </c>
      <c r="I412" s="47">
        <v>0</v>
      </c>
      <c r="J412" s="47">
        <f t="shared" si="316"/>
        <v>4118655</v>
      </c>
      <c r="K412" s="47"/>
      <c r="L412" s="47"/>
      <c r="M412" s="47"/>
      <c r="N412" s="47">
        <f t="shared" si="323"/>
        <v>0</v>
      </c>
      <c r="O412" s="47">
        <f t="shared" si="292"/>
        <v>4118655</v>
      </c>
      <c r="P412" s="47">
        <f t="shared" si="293"/>
        <v>0</v>
      </c>
      <c r="Q412" s="47">
        <f t="shared" si="294"/>
        <v>0</v>
      </c>
      <c r="R412" s="47">
        <f t="shared" si="295"/>
        <v>4118655</v>
      </c>
      <c r="S412" s="79">
        <f t="shared" si="318"/>
        <v>42.301729339718328</v>
      </c>
      <c r="T412" s="79">
        <v>0</v>
      </c>
      <c r="U412" s="79">
        <v>0</v>
      </c>
      <c r="V412" s="79">
        <f t="shared" si="319"/>
        <v>42.301729339718328</v>
      </c>
      <c r="W412" s="47">
        <f t="shared" si="314"/>
        <v>5617720</v>
      </c>
      <c r="X412" s="247">
        <f t="shared" si="328"/>
        <v>4118655</v>
      </c>
      <c r="Y412" s="247">
        <f t="shared" si="326"/>
        <v>0</v>
      </c>
      <c r="Z412" s="247">
        <f t="shared" si="327"/>
        <v>0</v>
      </c>
      <c r="AA412" s="93"/>
    </row>
    <row r="413" spans="1:27">
      <c r="A413" s="44" t="s">
        <v>295</v>
      </c>
      <c r="B413" s="45" t="s">
        <v>116</v>
      </c>
      <c r="C413" s="98">
        <v>24181745</v>
      </c>
      <c r="D413" s="46">
        <v>0</v>
      </c>
      <c r="E413" s="46">
        <v>0</v>
      </c>
      <c r="F413" s="46">
        <f t="shared" si="329"/>
        <v>24181745</v>
      </c>
      <c r="G413" s="63">
        <v>24177304</v>
      </c>
      <c r="H413" s="47">
        <v>0</v>
      </c>
      <c r="I413" s="47">
        <v>0</v>
      </c>
      <c r="J413" s="47">
        <f t="shared" si="316"/>
        <v>24177304</v>
      </c>
      <c r="K413" s="47"/>
      <c r="L413" s="47"/>
      <c r="M413" s="47"/>
      <c r="N413" s="47">
        <f t="shared" si="323"/>
        <v>0</v>
      </c>
      <c r="O413" s="47">
        <f t="shared" si="292"/>
        <v>24177304</v>
      </c>
      <c r="P413" s="47">
        <f t="shared" si="293"/>
        <v>0</v>
      </c>
      <c r="Q413" s="47">
        <f t="shared" si="294"/>
        <v>0</v>
      </c>
      <c r="R413" s="47">
        <f t="shared" si="295"/>
        <v>24177304</v>
      </c>
      <c r="S413" s="79">
        <f t="shared" si="318"/>
        <v>99.981634906827438</v>
      </c>
      <c r="T413" s="79">
        <v>0</v>
      </c>
      <c r="U413" s="79">
        <v>0</v>
      </c>
      <c r="V413" s="79">
        <f t="shared" si="319"/>
        <v>99.981634906827438</v>
      </c>
      <c r="W413" s="47">
        <f t="shared" si="314"/>
        <v>4441</v>
      </c>
      <c r="X413" s="247">
        <f t="shared" si="328"/>
        <v>24177304</v>
      </c>
      <c r="Y413" s="247">
        <f t="shared" si="326"/>
        <v>0</v>
      </c>
      <c r="Z413" s="247">
        <f t="shared" si="327"/>
        <v>0</v>
      </c>
      <c r="AA413" s="93"/>
    </row>
    <row r="414" spans="1:27">
      <c r="A414" s="44" t="s">
        <v>228</v>
      </c>
      <c r="B414" s="45" t="s">
        <v>117</v>
      </c>
      <c r="C414" s="98">
        <v>7725000</v>
      </c>
      <c r="D414" s="46">
        <v>0</v>
      </c>
      <c r="E414" s="46">
        <v>0</v>
      </c>
      <c r="F414" s="46">
        <f t="shared" si="329"/>
        <v>7725000</v>
      </c>
      <c r="G414" s="63">
        <v>7716720</v>
      </c>
      <c r="H414" s="47">
        <v>0</v>
      </c>
      <c r="I414" s="47">
        <v>0</v>
      </c>
      <c r="J414" s="47">
        <f t="shared" si="316"/>
        <v>7716720</v>
      </c>
      <c r="K414" s="47"/>
      <c r="L414" s="47"/>
      <c r="M414" s="47"/>
      <c r="N414" s="47">
        <f t="shared" si="323"/>
        <v>0</v>
      </c>
      <c r="O414" s="47">
        <f t="shared" si="292"/>
        <v>7716720</v>
      </c>
      <c r="P414" s="47">
        <f t="shared" si="293"/>
        <v>0</v>
      </c>
      <c r="Q414" s="47">
        <f t="shared" si="294"/>
        <v>0</v>
      </c>
      <c r="R414" s="47">
        <f t="shared" si="295"/>
        <v>7716720</v>
      </c>
      <c r="S414" s="79">
        <f t="shared" si="318"/>
        <v>99.892815533980581</v>
      </c>
      <c r="T414" s="79">
        <v>0</v>
      </c>
      <c r="U414" s="79">
        <v>0</v>
      </c>
      <c r="V414" s="79">
        <f t="shared" si="319"/>
        <v>99.892815533980581</v>
      </c>
      <c r="W414" s="47">
        <f t="shared" si="314"/>
        <v>8280</v>
      </c>
      <c r="X414" s="247">
        <f t="shared" si="328"/>
        <v>7716720</v>
      </c>
      <c r="Y414" s="247">
        <f t="shared" si="326"/>
        <v>0</v>
      </c>
      <c r="Z414" s="247">
        <f t="shared" si="327"/>
        <v>0</v>
      </c>
      <c r="AA414" s="93"/>
    </row>
    <row r="415" spans="1:27" ht="18.75" customHeight="1">
      <c r="A415" s="44" t="s">
        <v>231</v>
      </c>
      <c r="B415" s="45" t="s">
        <v>119</v>
      </c>
      <c r="C415" s="98">
        <v>18520000</v>
      </c>
      <c r="D415" s="46">
        <v>0</v>
      </c>
      <c r="E415" s="46">
        <v>0</v>
      </c>
      <c r="F415" s="46">
        <f t="shared" si="329"/>
        <v>18520000</v>
      </c>
      <c r="G415" s="63">
        <v>18469290</v>
      </c>
      <c r="H415" s="47">
        <v>0</v>
      </c>
      <c r="I415" s="47">
        <v>0</v>
      </c>
      <c r="J415" s="47">
        <f t="shared" si="316"/>
        <v>18469290</v>
      </c>
      <c r="K415" s="47"/>
      <c r="L415" s="47"/>
      <c r="M415" s="47"/>
      <c r="N415" s="47">
        <f t="shared" si="323"/>
        <v>0</v>
      </c>
      <c r="O415" s="47">
        <f t="shared" si="292"/>
        <v>18469290</v>
      </c>
      <c r="P415" s="47">
        <f t="shared" si="293"/>
        <v>0</v>
      </c>
      <c r="Q415" s="47">
        <f t="shared" si="294"/>
        <v>0</v>
      </c>
      <c r="R415" s="47">
        <f t="shared" si="295"/>
        <v>18469290</v>
      </c>
      <c r="S415" s="79">
        <f t="shared" si="318"/>
        <v>99.726187904967603</v>
      </c>
      <c r="T415" s="79">
        <v>0</v>
      </c>
      <c r="U415" s="79">
        <v>0</v>
      </c>
      <c r="V415" s="79">
        <f t="shared" si="319"/>
        <v>99.726187904967603</v>
      </c>
      <c r="W415" s="47">
        <f t="shared" si="314"/>
        <v>50710</v>
      </c>
      <c r="X415" s="247">
        <f t="shared" si="328"/>
        <v>18469290</v>
      </c>
      <c r="Y415" s="247">
        <f t="shared" si="326"/>
        <v>0</v>
      </c>
      <c r="Z415" s="247">
        <f t="shared" si="327"/>
        <v>0</v>
      </c>
      <c r="AA415" s="93"/>
    </row>
    <row r="416" spans="1:27" ht="18.75" customHeight="1">
      <c r="A416" s="44" t="s">
        <v>379</v>
      </c>
      <c r="B416" s="45" t="s">
        <v>380</v>
      </c>
      <c r="C416" s="98">
        <v>7841100</v>
      </c>
      <c r="D416" s="46">
        <v>0</v>
      </c>
      <c r="E416" s="46">
        <v>0</v>
      </c>
      <c r="F416" s="46">
        <f t="shared" si="329"/>
        <v>7841100</v>
      </c>
      <c r="G416" s="63">
        <v>7841100</v>
      </c>
      <c r="H416" s="47">
        <v>0</v>
      </c>
      <c r="I416" s="47">
        <v>0</v>
      </c>
      <c r="J416" s="47">
        <f t="shared" si="316"/>
        <v>7841100</v>
      </c>
      <c r="K416" s="47"/>
      <c r="L416" s="47"/>
      <c r="M416" s="47"/>
      <c r="N416" s="47">
        <f t="shared" si="323"/>
        <v>0</v>
      </c>
      <c r="O416" s="47">
        <f t="shared" si="292"/>
        <v>7841100</v>
      </c>
      <c r="P416" s="47">
        <f t="shared" si="293"/>
        <v>0</v>
      </c>
      <c r="Q416" s="47">
        <f t="shared" si="294"/>
        <v>0</v>
      </c>
      <c r="R416" s="47">
        <f t="shared" si="295"/>
        <v>7841100</v>
      </c>
      <c r="S416" s="79">
        <f t="shared" si="318"/>
        <v>100</v>
      </c>
      <c r="T416" s="79">
        <v>0</v>
      </c>
      <c r="U416" s="79">
        <v>0</v>
      </c>
      <c r="V416" s="79">
        <f t="shared" si="319"/>
        <v>100</v>
      </c>
      <c r="W416" s="47">
        <f t="shared" si="314"/>
        <v>0</v>
      </c>
      <c r="X416" s="247">
        <f t="shared" si="328"/>
        <v>7841100</v>
      </c>
      <c r="Y416" s="247">
        <f t="shared" si="326"/>
        <v>0</v>
      </c>
      <c r="Z416" s="247">
        <f t="shared" si="327"/>
        <v>0</v>
      </c>
      <c r="AA416" s="93"/>
    </row>
    <row r="417" spans="1:27" s="8" customFormat="1">
      <c r="A417" s="96" t="s">
        <v>121</v>
      </c>
      <c r="B417" s="96" t="s">
        <v>122</v>
      </c>
      <c r="C417" s="60">
        <f>SUM(C418:C419)</f>
        <v>51936000</v>
      </c>
      <c r="D417" s="60">
        <f>SUM(D418:D418)</f>
        <v>0</v>
      </c>
      <c r="E417" s="60">
        <f>SUM(E418:E418)</f>
        <v>0</v>
      </c>
      <c r="F417" s="60">
        <f t="shared" si="329"/>
        <v>51936000</v>
      </c>
      <c r="G417" s="60">
        <f>SUM(G418:G419)</f>
        <v>28039000</v>
      </c>
      <c r="H417" s="60">
        <f t="shared" ref="H417:I417" si="330">SUM(H418:H419)</f>
        <v>0</v>
      </c>
      <c r="I417" s="60">
        <f t="shared" si="330"/>
        <v>0</v>
      </c>
      <c r="J417" s="60">
        <f t="shared" si="316"/>
        <v>28039000</v>
      </c>
      <c r="K417" s="60">
        <f t="shared" ref="K417" si="331">SUM(K418:K419)</f>
        <v>0</v>
      </c>
      <c r="L417" s="60">
        <f>SUM(L418:L419)</f>
        <v>0</v>
      </c>
      <c r="M417" s="60">
        <f>SUM(M418:M419)</f>
        <v>0</v>
      </c>
      <c r="N417" s="60">
        <f t="shared" si="323"/>
        <v>0</v>
      </c>
      <c r="O417" s="60">
        <f t="shared" si="292"/>
        <v>28039000</v>
      </c>
      <c r="P417" s="60">
        <f t="shared" si="293"/>
        <v>0</v>
      </c>
      <c r="Q417" s="60">
        <f t="shared" si="294"/>
        <v>0</v>
      </c>
      <c r="R417" s="60">
        <f t="shared" si="295"/>
        <v>28039000</v>
      </c>
      <c r="S417" s="84">
        <f t="shared" si="318"/>
        <v>53.987600123228589</v>
      </c>
      <c r="T417" s="84">
        <v>0</v>
      </c>
      <c r="U417" s="84">
        <v>0</v>
      </c>
      <c r="V417" s="84">
        <f t="shared" si="319"/>
        <v>53.987600123228589</v>
      </c>
      <c r="W417" s="60">
        <f t="shared" si="314"/>
        <v>23897000</v>
      </c>
      <c r="X417" s="247">
        <f t="shared" si="328"/>
        <v>28039000</v>
      </c>
      <c r="Y417" s="247">
        <f t="shared" si="326"/>
        <v>0</v>
      </c>
      <c r="Z417" s="247">
        <f t="shared" si="327"/>
        <v>0</v>
      </c>
      <c r="AA417" s="93"/>
    </row>
    <row r="418" spans="1:27">
      <c r="A418" s="97" t="s">
        <v>123</v>
      </c>
      <c r="B418" s="97" t="s">
        <v>391</v>
      </c>
      <c r="C418" s="98">
        <v>504000</v>
      </c>
      <c r="D418" s="46">
        <v>0</v>
      </c>
      <c r="E418" s="46">
        <v>0</v>
      </c>
      <c r="F418" s="46">
        <f t="shared" si="329"/>
        <v>504000</v>
      </c>
      <c r="G418" s="63">
        <v>0</v>
      </c>
      <c r="H418" s="47">
        <v>0</v>
      </c>
      <c r="I418" s="47">
        <v>0</v>
      </c>
      <c r="J418" s="47">
        <f t="shared" si="316"/>
        <v>0</v>
      </c>
      <c r="K418" s="63"/>
      <c r="L418" s="47"/>
      <c r="M418" s="47"/>
      <c r="N418" s="47">
        <f t="shared" si="323"/>
        <v>0</v>
      </c>
      <c r="O418" s="47">
        <f t="shared" si="292"/>
        <v>0</v>
      </c>
      <c r="P418" s="47">
        <f t="shared" si="293"/>
        <v>0</v>
      </c>
      <c r="Q418" s="47">
        <f t="shared" si="294"/>
        <v>0</v>
      </c>
      <c r="R418" s="47">
        <f t="shared" si="295"/>
        <v>0</v>
      </c>
      <c r="S418" s="79">
        <f t="shared" si="318"/>
        <v>0</v>
      </c>
      <c r="T418" s="79">
        <v>0</v>
      </c>
      <c r="U418" s="79">
        <v>0</v>
      </c>
      <c r="V418" s="79">
        <f t="shared" si="319"/>
        <v>0</v>
      </c>
      <c r="W418" s="47">
        <f t="shared" si="314"/>
        <v>504000</v>
      </c>
      <c r="X418" s="247">
        <f t="shared" si="328"/>
        <v>0</v>
      </c>
      <c r="Y418" s="247">
        <f t="shared" si="326"/>
        <v>0</v>
      </c>
      <c r="Z418" s="247">
        <f t="shared" si="327"/>
        <v>0</v>
      </c>
      <c r="AA418" s="93"/>
    </row>
    <row r="419" spans="1:27">
      <c r="A419" s="97" t="s">
        <v>124</v>
      </c>
      <c r="B419" s="97" t="s">
        <v>125</v>
      </c>
      <c r="C419" s="98">
        <v>51432000</v>
      </c>
      <c r="D419" s="46">
        <v>0</v>
      </c>
      <c r="E419" s="46">
        <v>0</v>
      </c>
      <c r="F419" s="46">
        <f t="shared" si="329"/>
        <v>51432000</v>
      </c>
      <c r="G419" s="63">
        <v>28039000</v>
      </c>
      <c r="H419" s="47">
        <v>0</v>
      </c>
      <c r="I419" s="47">
        <v>0</v>
      </c>
      <c r="J419" s="47">
        <f t="shared" si="316"/>
        <v>28039000</v>
      </c>
      <c r="K419" s="63"/>
      <c r="L419" s="47"/>
      <c r="M419" s="47"/>
      <c r="N419" s="47">
        <f t="shared" si="323"/>
        <v>0</v>
      </c>
      <c r="O419" s="47">
        <f t="shared" si="292"/>
        <v>28039000</v>
      </c>
      <c r="P419" s="47">
        <f t="shared" si="293"/>
        <v>0</v>
      </c>
      <c r="Q419" s="47">
        <f t="shared" si="294"/>
        <v>0</v>
      </c>
      <c r="R419" s="47">
        <f t="shared" si="295"/>
        <v>28039000</v>
      </c>
      <c r="S419" s="79">
        <f t="shared" si="318"/>
        <v>54.516643334888784</v>
      </c>
      <c r="T419" s="79">
        <v>0</v>
      </c>
      <c r="U419" s="79">
        <v>0</v>
      </c>
      <c r="V419" s="79">
        <f t="shared" si="319"/>
        <v>54.516643334888784</v>
      </c>
      <c r="W419" s="47">
        <f t="shared" si="314"/>
        <v>23393000</v>
      </c>
      <c r="X419" s="247">
        <f t="shared" si="328"/>
        <v>28039000</v>
      </c>
      <c r="Y419" s="247">
        <f t="shared" si="326"/>
        <v>0</v>
      </c>
      <c r="Z419" s="247">
        <f t="shared" si="327"/>
        <v>0</v>
      </c>
      <c r="AA419" s="93"/>
    </row>
    <row r="420" spans="1:27" s="8" customFormat="1">
      <c r="A420" s="96" t="s">
        <v>126</v>
      </c>
      <c r="B420" s="96" t="s">
        <v>127</v>
      </c>
      <c r="C420" s="60">
        <f>SUM(C421:C422)</f>
        <v>7744000</v>
      </c>
      <c r="D420" s="60">
        <f>D421</f>
        <v>0</v>
      </c>
      <c r="E420" s="60">
        <f>E421</f>
        <v>0</v>
      </c>
      <c r="F420" s="60">
        <f t="shared" si="329"/>
        <v>7744000</v>
      </c>
      <c r="G420" s="60">
        <f t="shared" ref="G420:I420" si="332">SUM(G421:G422)</f>
        <v>2130000</v>
      </c>
      <c r="H420" s="60">
        <f t="shared" si="332"/>
        <v>0</v>
      </c>
      <c r="I420" s="60">
        <f t="shared" si="332"/>
        <v>0</v>
      </c>
      <c r="J420" s="60">
        <f t="shared" si="316"/>
        <v>2130000</v>
      </c>
      <c r="K420" s="60">
        <f>SUM(K421:K422)</f>
        <v>0</v>
      </c>
      <c r="L420" s="60">
        <f t="shared" ref="L420:M420" si="333">SUM(L421:L422)</f>
        <v>0</v>
      </c>
      <c r="M420" s="60">
        <f t="shared" si="333"/>
        <v>0</v>
      </c>
      <c r="N420" s="60">
        <f>SUM(K420:M420)</f>
        <v>0</v>
      </c>
      <c r="O420" s="60">
        <f t="shared" si="292"/>
        <v>2130000</v>
      </c>
      <c r="P420" s="60">
        <f t="shared" si="293"/>
        <v>0</v>
      </c>
      <c r="Q420" s="60">
        <f t="shared" si="294"/>
        <v>0</v>
      </c>
      <c r="R420" s="60">
        <f t="shared" si="295"/>
        <v>2130000</v>
      </c>
      <c r="S420" s="84">
        <f t="shared" si="318"/>
        <v>27.505165289256201</v>
      </c>
      <c r="T420" s="84">
        <v>0</v>
      </c>
      <c r="U420" s="84">
        <v>0</v>
      </c>
      <c r="V420" s="84">
        <f t="shared" si="319"/>
        <v>27.505165289256201</v>
      </c>
      <c r="W420" s="60">
        <f t="shared" si="314"/>
        <v>5614000</v>
      </c>
      <c r="X420" s="247">
        <f t="shared" si="328"/>
        <v>2130000</v>
      </c>
      <c r="Y420" s="247">
        <f t="shared" si="326"/>
        <v>0</v>
      </c>
      <c r="Z420" s="247">
        <f t="shared" si="327"/>
        <v>0</v>
      </c>
      <c r="AA420" s="93"/>
    </row>
    <row r="421" spans="1:27">
      <c r="A421" s="97" t="s">
        <v>123</v>
      </c>
      <c r="B421" s="97" t="s">
        <v>391</v>
      </c>
      <c r="C421" s="98">
        <v>320</v>
      </c>
      <c r="D421" s="46">
        <v>0</v>
      </c>
      <c r="E421" s="46">
        <v>0</v>
      </c>
      <c r="F421" s="46">
        <f t="shared" si="329"/>
        <v>320</v>
      </c>
      <c r="G421" s="63"/>
      <c r="H421" s="47"/>
      <c r="I421" s="47"/>
      <c r="J421" s="47">
        <f t="shared" si="316"/>
        <v>0</v>
      </c>
      <c r="K421" s="47"/>
      <c r="L421" s="47"/>
      <c r="M421" s="47"/>
      <c r="N421" s="47">
        <f t="shared" si="323"/>
        <v>0</v>
      </c>
      <c r="O421" s="47">
        <f t="shared" si="292"/>
        <v>0</v>
      </c>
      <c r="P421" s="47">
        <f t="shared" si="293"/>
        <v>0</v>
      </c>
      <c r="Q421" s="47">
        <f t="shared" si="294"/>
        <v>0</v>
      </c>
      <c r="R421" s="47">
        <f t="shared" si="295"/>
        <v>0</v>
      </c>
      <c r="S421" s="79">
        <f t="shared" si="318"/>
        <v>0</v>
      </c>
      <c r="T421" s="79">
        <v>0</v>
      </c>
      <c r="U421" s="79">
        <v>0</v>
      </c>
      <c r="V421" s="79">
        <f t="shared" si="319"/>
        <v>0</v>
      </c>
      <c r="W421" s="47">
        <f t="shared" si="314"/>
        <v>320</v>
      </c>
      <c r="X421" s="247">
        <f t="shared" si="328"/>
        <v>0</v>
      </c>
      <c r="Y421" s="247">
        <f t="shared" si="326"/>
        <v>0</v>
      </c>
      <c r="Z421" s="247">
        <f t="shared" si="327"/>
        <v>0</v>
      </c>
      <c r="AA421" s="93"/>
    </row>
    <row r="422" spans="1:27">
      <c r="A422" s="97" t="s">
        <v>128</v>
      </c>
      <c r="B422" s="97" t="s">
        <v>113</v>
      </c>
      <c r="C422" s="98">
        <v>7743680</v>
      </c>
      <c r="D422" s="46">
        <v>0</v>
      </c>
      <c r="E422" s="46">
        <v>0</v>
      </c>
      <c r="F422" s="46">
        <f t="shared" si="329"/>
        <v>7743680</v>
      </c>
      <c r="G422" s="47">
        <v>2130000</v>
      </c>
      <c r="H422" s="47"/>
      <c r="I422" s="47"/>
      <c r="J422" s="47">
        <f t="shared" si="316"/>
        <v>2130000</v>
      </c>
      <c r="K422" s="47"/>
      <c r="L422" s="47"/>
      <c r="M422" s="47"/>
      <c r="N422" s="47">
        <f t="shared" si="323"/>
        <v>0</v>
      </c>
      <c r="O422" s="47">
        <f t="shared" si="292"/>
        <v>2130000</v>
      </c>
      <c r="P422" s="47">
        <f t="shared" si="293"/>
        <v>0</v>
      </c>
      <c r="Q422" s="47">
        <f t="shared" si="294"/>
        <v>0</v>
      </c>
      <c r="R422" s="47">
        <f t="shared" si="295"/>
        <v>2130000</v>
      </c>
      <c r="S422" s="79">
        <f t="shared" si="318"/>
        <v>27.506301913302199</v>
      </c>
      <c r="T422" s="79">
        <v>0</v>
      </c>
      <c r="U422" s="79">
        <v>0</v>
      </c>
      <c r="V422" s="79">
        <f t="shared" si="319"/>
        <v>27.506301913302199</v>
      </c>
      <c r="W422" s="47">
        <f t="shared" si="314"/>
        <v>5613680</v>
      </c>
      <c r="X422" s="247">
        <f t="shared" si="328"/>
        <v>2130000</v>
      </c>
      <c r="Y422" s="247">
        <f t="shared" si="326"/>
        <v>0</v>
      </c>
      <c r="Z422" s="247">
        <f t="shared" si="327"/>
        <v>0</v>
      </c>
      <c r="AA422" s="93"/>
    </row>
    <row r="423" spans="1:27" s="8" customFormat="1">
      <c r="A423" s="96" t="s">
        <v>129</v>
      </c>
      <c r="B423" s="96" t="s">
        <v>130</v>
      </c>
      <c r="C423" s="60">
        <f t="shared" ref="C423:M425" si="334">SUM(C424:C424)</f>
        <v>7756800</v>
      </c>
      <c r="D423" s="60">
        <f t="shared" si="334"/>
        <v>0</v>
      </c>
      <c r="E423" s="60">
        <f t="shared" si="334"/>
        <v>0</v>
      </c>
      <c r="F423" s="60">
        <f t="shared" si="329"/>
        <v>7756800</v>
      </c>
      <c r="G423" s="60">
        <f t="shared" ref="G423:I425" si="335">SUM(G424:G424)</f>
        <v>3876000</v>
      </c>
      <c r="H423" s="60">
        <f t="shared" si="335"/>
        <v>0</v>
      </c>
      <c r="I423" s="60">
        <f t="shared" si="335"/>
        <v>0</v>
      </c>
      <c r="J423" s="60">
        <f t="shared" si="316"/>
        <v>3876000</v>
      </c>
      <c r="K423" s="60">
        <f t="shared" si="334"/>
        <v>0</v>
      </c>
      <c r="L423" s="60">
        <f t="shared" si="334"/>
        <v>0</v>
      </c>
      <c r="M423" s="60">
        <f t="shared" si="334"/>
        <v>0</v>
      </c>
      <c r="N423" s="60">
        <f t="shared" si="323"/>
        <v>0</v>
      </c>
      <c r="O423" s="60">
        <f t="shared" si="292"/>
        <v>3876000</v>
      </c>
      <c r="P423" s="60">
        <f t="shared" si="293"/>
        <v>0</v>
      </c>
      <c r="Q423" s="60">
        <f t="shared" si="294"/>
        <v>0</v>
      </c>
      <c r="R423" s="60">
        <f t="shared" si="295"/>
        <v>3876000</v>
      </c>
      <c r="S423" s="84">
        <f t="shared" si="318"/>
        <v>49.969059405940598</v>
      </c>
      <c r="T423" s="84">
        <v>0</v>
      </c>
      <c r="U423" s="84">
        <v>0</v>
      </c>
      <c r="V423" s="84">
        <f t="shared" si="319"/>
        <v>49.969059405940598</v>
      </c>
      <c r="W423" s="60">
        <f t="shared" si="314"/>
        <v>3880800</v>
      </c>
      <c r="X423" s="247">
        <f t="shared" si="328"/>
        <v>3876000</v>
      </c>
      <c r="Y423" s="247">
        <f t="shared" si="326"/>
        <v>0</v>
      </c>
      <c r="Z423" s="247">
        <f t="shared" si="327"/>
        <v>0</v>
      </c>
      <c r="AA423" s="93"/>
    </row>
    <row r="424" spans="1:27">
      <c r="A424" s="97" t="s">
        <v>133</v>
      </c>
      <c r="B424" s="97" t="s">
        <v>134</v>
      </c>
      <c r="C424" s="98">
        <v>7756800</v>
      </c>
      <c r="D424" s="46">
        <v>0</v>
      </c>
      <c r="E424" s="46">
        <v>0</v>
      </c>
      <c r="F424" s="46">
        <f t="shared" si="329"/>
        <v>7756800</v>
      </c>
      <c r="G424" s="47">
        <v>3876000</v>
      </c>
      <c r="H424" s="47">
        <v>0</v>
      </c>
      <c r="I424" s="47">
        <v>0</v>
      </c>
      <c r="J424" s="47">
        <f t="shared" si="316"/>
        <v>3876000</v>
      </c>
      <c r="K424" s="47"/>
      <c r="L424" s="47"/>
      <c r="M424" s="47"/>
      <c r="N424" s="47">
        <f t="shared" si="323"/>
        <v>0</v>
      </c>
      <c r="O424" s="47">
        <f t="shared" si="292"/>
        <v>3876000</v>
      </c>
      <c r="P424" s="47">
        <f t="shared" si="293"/>
        <v>0</v>
      </c>
      <c r="Q424" s="47">
        <f t="shared" si="294"/>
        <v>0</v>
      </c>
      <c r="R424" s="47">
        <f t="shared" si="295"/>
        <v>3876000</v>
      </c>
      <c r="S424" s="79">
        <f t="shared" si="318"/>
        <v>49.969059405940598</v>
      </c>
      <c r="T424" s="79">
        <v>0</v>
      </c>
      <c r="U424" s="79">
        <v>0</v>
      </c>
      <c r="V424" s="79">
        <f t="shared" si="319"/>
        <v>49.969059405940598</v>
      </c>
      <c r="W424" s="47">
        <f t="shared" si="314"/>
        <v>3880800</v>
      </c>
      <c r="X424" s="247">
        <f t="shared" si="328"/>
        <v>3876000</v>
      </c>
      <c r="Y424" s="247">
        <f t="shared" si="326"/>
        <v>0</v>
      </c>
      <c r="Z424" s="247">
        <f t="shared" si="327"/>
        <v>0</v>
      </c>
      <c r="AA424" s="93"/>
    </row>
    <row r="425" spans="1:27" s="8" customFormat="1">
      <c r="A425" s="96" t="s">
        <v>135</v>
      </c>
      <c r="B425" s="96" t="s">
        <v>136</v>
      </c>
      <c r="C425" s="60">
        <f t="shared" si="334"/>
        <v>153000000</v>
      </c>
      <c r="D425" s="60">
        <f t="shared" si="334"/>
        <v>0</v>
      </c>
      <c r="E425" s="60">
        <f t="shared" si="334"/>
        <v>0</v>
      </c>
      <c r="F425" s="60">
        <f t="shared" si="329"/>
        <v>153000000</v>
      </c>
      <c r="G425" s="60">
        <f t="shared" si="335"/>
        <v>114275500</v>
      </c>
      <c r="H425" s="60">
        <f t="shared" si="335"/>
        <v>0</v>
      </c>
      <c r="I425" s="60">
        <f t="shared" si="335"/>
        <v>0</v>
      </c>
      <c r="J425" s="60">
        <f t="shared" si="316"/>
        <v>114275500</v>
      </c>
      <c r="K425" s="60">
        <f t="shared" si="334"/>
        <v>0</v>
      </c>
      <c r="L425" s="60">
        <f t="shared" si="334"/>
        <v>0</v>
      </c>
      <c r="M425" s="60">
        <f t="shared" si="334"/>
        <v>0</v>
      </c>
      <c r="N425" s="60">
        <f t="shared" si="323"/>
        <v>0</v>
      </c>
      <c r="O425" s="60">
        <f t="shared" si="292"/>
        <v>114275500</v>
      </c>
      <c r="P425" s="60">
        <f t="shared" si="293"/>
        <v>0</v>
      </c>
      <c r="Q425" s="60">
        <f t="shared" si="294"/>
        <v>0</v>
      </c>
      <c r="R425" s="60">
        <f t="shared" si="295"/>
        <v>114275500</v>
      </c>
      <c r="S425" s="84">
        <f t="shared" si="318"/>
        <v>74.689869281045745</v>
      </c>
      <c r="T425" s="84">
        <v>0</v>
      </c>
      <c r="U425" s="84">
        <v>0</v>
      </c>
      <c r="V425" s="84">
        <f t="shared" si="319"/>
        <v>74.689869281045745</v>
      </c>
      <c r="W425" s="60">
        <f t="shared" si="314"/>
        <v>38724500</v>
      </c>
      <c r="X425" s="247">
        <f t="shared" si="328"/>
        <v>114275500</v>
      </c>
      <c r="Y425" s="247">
        <f t="shared" si="326"/>
        <v>0</v>
      </c>
      <c r="Z425" s="247">
        <f t="shared" si="327"/>
        <v>0</v>
      </c>
      <c r="AA425" s="93"/>
    </row>
    <row r="426" spans="1:27">
      <c r="A426" s="97" t="s">
        <v>100</v>
      </c>
      <c r="B426" s="97" t="s">
        <v>101</v>
      </c>
      <c r="C426" s="98">
        <v>153000000</v>
      </c>
      <c r="D426" s="46">
        <v>0</v>
      </c>
      <c r="E426" s="46">
        <v>0</v>
      </c>
      <c r="F426" s="46">
        <f t="shared" si="329"/>
        <v>153000000</v>
      </c>
      <c r="G426" s="63">
        <v>114275500</v>
      </c>
      <c r="H426" s="47">
        <v>0</v>
      </c>
      <c r="I426" s="47">
        <v>0</v>
      </c>
      <c r="J426" s="47">
        <f t="shared" si="316"/>
        <v>114275500</v>
      </c>
      <c r="K426" s="63"/>
      <c r="L426" s="47">
        <v>0</v>
      </c>
      <c r="M426" s="47">
        <v>0</v>
      </c>
      <c r="N426" s="47">
        <f t="shared" si="323"/>
        <v>0</v>
      </c>
      <c r="O426" s="47">
        <f t="shared" si="292"/>
        <v>114275500</v>
      </c>
      <c r="P426" s="47">
        <f t="shared" si="293"/>
        <v>0</v>
      </c>
      <c r="Q426" s="47">
        <f t="shared" si="294"/>
        <v>0</v>
      </c>
      <c r="R426" s="47">
        <f t="shared" si="295"/>
        <v>114275500</v>
      </c>
      <c r="S426" s="79">
        <f t="shared" si="318"/>
        <v>74.689869281045745</v>
      </c>
      <c r="T426" s="79">
        <v>0</v>
      </c>
      <c r="U426" s="79">
        <v>0</v>
      </c>
      <c r="V426" s="79">
        <f t="shared" si="319"/>
        <v>74.689869281045745</v>
      </c>
      <c r="W426" s="47">
        <f t="shared" si="314"/>
        <v>38724500</v>
      </c>
      <c r="X426" s="247">
        <f t="shared" si="328"/>
        <v>114275500</v>
      </c>
      <c r="Y426" s="247">
        <f t="shared" si="326"/>
        <v>0</v>
      </c>
      <c r="Z426" s="247">
        <f t="shared" si="327"/>
        <v>0</v>
      </c>
      <c r="AA426" s="93"/>
    </row>
    <row r="427" spans="1:27" s="6" customFormat="1" ht="17.25" customHeight="1">
      <c r="A427" s="38" t="s">
        <v>141</v>
      </c>
      <c r="B427" s="137" t="s">
        <v>142</v>
      </c>
      <c r="C427" s="62">
        <f>C428</f>
        <v>66741154</v>
      </c>
      <c r="D427" s="62">
        <f>D428</f>
        <v>0</v>
      </c>
      <c r="E427" s="62">
        <f>E428</f>
        <v>0</v>
      </c>
      <c r="F427" s="62">
        <f t="shared" si="329"/>
        <v>66741154</v>
      </c>
      <c r="G427" s="62">
        <f t="shared" ref="G427:I427" si="336">G428</f>
        <v>66739265</v>
      </c>
      <c r="H427" s="62">
        <f t="shared" si="336"/>
        <v>0</v>
      </c>
      <c r="I427" s="62">
        <f t="shared" si="336"/>
        <v>0</v>
      </c>
      <c r="J427" s="62">
        <f t="shared" si="316"/>
        <v>66739265</v>
      </c>
      <c r="K427" s="62">
        <f t="shared" ref="K427:M427" si="337">K428</f>
        <v>0</v>
      </c>
      <c r="L427" s="62">
        <f t="shared" si="337"/>
        <v>0</v>
      </c>
      <c r="M427" s="62">
        <f t="shared" si="337"/>
        <v>0</v>
      </c>
      <c r="N427" s="62">
        <f t="shared" si="323"/>
        <v>0</v>
      </c>
      <c r="O427" s="62">
        <f t="shared" si="292"/>
        <v>66739265</v>
      </c>
      <c r="P427" s="62">
        <f t="shared" si="293"/>
        <v>0</v>
      </c>
      <c r="Q427" s="62">
        <f t="shared" si="294"/>
        <v>0</v>
      </c>
      <c r="R427" s="62">
        <f t="shared" si="295"/>
        <v>66739265</v>
      </c>
      <c r="S427" s="85">
        <f t="shared" si="318"/>
        <v>99.997169662364556</v>
      </c>
      <c r="T427" s="85">
        <v>0</v>
      </c>
      <c r="U427" s="85">
        <v>0</v>
      </c>
      <c r="V427" s="85">
        <f t="shared" si="319"/>
        <v>99.997169662364556</v>
      </c>
      <c r="W427" s="62">
        <f t="shared" si="314"/>
        <v>1889</v>
      </c>
      <c r="X427" s="247">
        <f t="shared" si="328"/>
        <v>66739265</v>
      </c>
      <c r="Y427" s="247">
        <f t="shared" si="326"/>
        <v>0</v>
      </c>
      <c r="Z427" s="247">
        <f t="shared" si="327"/>
        <v>0</v>
      </c>
      <c r="AA427" s="93"/>
    </row>
    <row r="428" spans="1:27" s="5" customFormat="1">
      <c r="A428" s="96" t="s">
        <v>147</v>
      </c>
      <c r="B428" s="96" t="s">
        <v>148</v>
      </c>
      <c r="C428" s="60">
        <f>SUM(C429:C434)</f>
        <v>66741154</v>
      </c>
      <c r="D428" s="60">
        <f>SUM(D429:D434)</f>
        <v>0</v>
      </c>
      <c r="E428" s="60">
        <f>SUM(E429:E434)</f>
        <v>0</v>
      </c>
      <c r="F428" s="60">
        <f t="shared" si="329"/>
        <v>66741154</v>
      </c>
      <c r="G428" s="60">
        <f t="shared" ref="G428:I428" si="338">SUM(G429:G434)</f>
        <v>66739265</v>
      </c>
      <c r="H428" s="60">
        <f t="shared" si="338"/>
        <v>0</v>
      </c>
      <c r="I428" s="60">
        <f t="shared" si="338"/>
        <v>0</v>
      </c>
      <c r="J428" s="60">
        <f t="shared" si="316"/>
        <v>66739265</v>
      </c>
      <c r="K428" s="60">
        <f t="shared" ref="K428:M428" si="339">SUM(K429:K434)</f>
        <v>0</v>
      </c>
      <c r="L428" s="60">
        <f t="shared" si="339"/>
        <v>0</v>
      </c>
      <c r="M428" s="60">
        <f t="shared" si="339"/>
        <v>0</v>
      </c>
      <c r="N428" s="60">
        <f t="shared" si="323"/>
        <v>0</v>
      </c>
      <c r="O428" s="60">
        <f t="shared" si="292"/>
        <v>66739265</v>
      </c>
      <c r="P428" s="60">
        <f t="shared" si="293"/>
        <v>0</v>
      </c>
      <c r="Q428" s="60">
        <f t="shared" si="294"/>
        <v>0</v>
      </c>
      <c r="R428" s="60">
        <f t="shared" si="295"/>
        <v>66739265</v>
      </c>
      <c r="S428" s="84">
        <f t="shared" si="318"/>
        <v>99.997169662364556</v>
      </c>
      <c r="T428" s="84">
        <v>0</v>
      </c>
      <c r="U428" s="84">
        <v>0</v>
      </c>
      <c r="V428" s="84">
        <f t="shared" si="319"/>
        <v>99.997169662364556</v>
      </c>
      <c r="W428" s="60">
        <f t="shared" si="314"/>
        <v>1889</v>
      </c>
      <c r="X428" s="247">
        <f t="shared" si="328"/>
        <v>66739265</v>
      </c>
      <c r="Y428" s="247">
        <f t="shared" si="326"/>
        <v>0</v>
      </c>
      <c r="Z428" s="247">
        <f t="shared" si="327"/>
        <v>0</v>
      </c>
      <c r="AA428" s="93"/>
    </row>
    <row r="429" spans="1:27">
      <c r="A429" s="97" t="s">
        <v>123</v>
      </c>
      <c r="B429" s="97" t="s">
        <v>391</v>
      </c>
      <c r="C429" s="98">
        <v>208</v>
      </c>
      <c r="D429" s="46">
        <v>0</v>
      </c>
      <c r="E429" s="46">
        <v>0</v>
      </c>
      <c r="F429" s="46">
        <f t="shared" si="329"/>
        <v>208</v>
      </c>
      <c r="G429" s="47"/>
      <c r="H429" s="47"/>
      <c r="I429" s="47"/>
      <c r="J429" s="47">
        <f t="shared" si="316"/>
        <v>0</v>
      </c>
      <c r="K429" s="47"/>
      <c r="L429" s="47"/>
      <c r="M429" s="47"/>
      <c r="N429" s="47">
        <f t="shared" si="323"/>
        <v>0</v>
      </c>
      <c r="O429" s="47">
        <f t="shared" si="292"/>
        <v>0</v>
      </c>
      <c r="P429" s="47">
        <f t="shared" si="293"/>
        <v>0</v>
      </c>
      <c r="Q429" s="47">
        <f t="shared" si="294"/>
        <v>0</v>
      </c>
      <c r="R429" s="47">
        <f t="shared" si="295"/>
        <v>0</v>
      </c>
      <c r="S429" s="79">
        <f t="shared" si="318"/>
        <v>0</v>
      </c>
      <c r="T429" s="79">
        <v>0</v>
      </c>
      <c r="U429" s="79">
        <v>0</v>
      </c>
      <c r="V429" s="79">
        <f t="shared" si="319"/>
        <v>0</v>
      </c>
      <c r="W429" s="47">
        <f t="shared" si="314"/>
        <v>208</v>
      </c>
      <c r="X429" s="247">
        <f t="shared" si="328"/>
        <v>0</v>
      </c>
      <c r="Y429" s="247">
        <f t="shared" si="326"/>
        <v>0</v>
      </c>
      <c r="Z429" s="247">
        <f t="shared" si="327"/>
        <v>0</v>
      </c>
      <c r="AA429" s="93"/>
    </row>
    <row r="430" spans="1:27">
      <c r="A430" s="97" t="s">
        <v>151</v>
      </c>
      <c r="B430" s="97" t="s">
        <v>152</v>
      </c>
      <c r="C430" s="98">
        <v>2554000</v>
      </c>
      <c r="D430" s="46">
        <v>0</v>
      </c>
      <c r="E430" s="46">
        <v>0</v>
      </c>
      <c r="F430" s="46">
        <f t="shared" si="329"/>
        <v>2554000</v>
      </c>
      <c r="G430" s="47">
        <v>2554000</v>
      </c>
      <c r="H430" s="47"/>
      <c r="I430" s="47"/>
      <c r="J430" s="47">
        <f t="shared" si="316"/>
        <v>2554000</v>
      </c>
      <c r="K430" s="47"/>
      <c r="L430" s="47"/>
      <c r="M430" s="47"/>
      <c r="N430" s="47">
        <f t="shared" si="323"/>
        <v>0</v>
      </c>
      <c r="O430" s="47">
        <f t="shared" si="292"/>
        <v>2554000</v>
      </c>
      <c r="P430" s="47">
        <f t="shared" si="293"/>
        <v>0</v>
      </c>
      <c r="Q430" s="47">
        <f t="shared" si="294"/>
        <v>0</v>
      </c>
      <c r="R430" s="47">
        <f t="shared" si="295"/>
        <v>2554000</v>
      </c>
      <c r="S430" s="79">
        <f t="shared" si="318"/>
        <v>100</v>
      </c>
      <c r="T430" s="79">
        <v>0</v>
      </c>
      <c r="U430" s="79">
        <v>0</v>
      </c>
      <c r="V430" s="79">
        <f t="shared" si="319"/>
        <v>100</v>
      </c>
      <c r="W430" s="47">
        <f t="shared" si="314"/>
        <v>0</v>
      </c>
      <c r="X430" s="247">
        <f t="shared" si="328"/>
        <v>2554000</v>
      </c>
      <c r="Y430" s="247">
        <f t="shared" si="326"/>
        <v>0</v>
      </c>
      <c r="Z430" s="247">
        <f t="shared" si="327"/>
        <v>0</v>
      </c>
      <c r="AA430" s="93"/>
    </row>
    <row r="431" spans="1:27">
      <c r="A431" s="97" t="s">
        <v>470</v>
      </c>
      <c r="B431" s="97" t="s">
        <v>471</v>
      </c>
      <c r="C431" s="98">
        <v>13903846</v>
      </c>
      <c r="D431" s="46">
        <v>0</v>
      </c>
      <c r="E431" s="46">
        <v>0</v>
      </c>
      <c r="F431" s="46">
        <f t="shared" si="329"/>
        <v>13903846</v>
      </c>
      <c r="G431" s="47">
        <v>13903805</v>
      </c>
      <c r="H431" s="47"/>
      <c r="I431" s="47"/>
      <c r="J431" s="47">
        <f t="shared" si="316"/>
        <v>13903805</v>
      </c>
      <c r="K431" s="47"/>
      <c r="L431" s="47"/>
      <c r="M431" s="47"/>
      <c r="N431" s="47">
        <f t="shared" si="323"/>
        <v>0</v>
      </c>
      <c r="O431" s="47">
        <f t="shared" si="292"/>
        <v>13903805</v>
      </c>
      <c r="P431" s="47">
        <f t="shared" si="293"/>
        <v>0</v>
      </c>
      <c r="Q431" s="47">
        <f t="shared" si="294"/>
        <v>0</v>
      </c>
      <c r="R431" s="47">
        <f t="shared" si="295"/>
        <v>13903805</v>
      </c>
      <c r="S431" s="79">
        <f t="shared" si="318"/>
        <v>99.999705117562428</v>
      </c>
      <c r="T431" s="79">
        <v>0</v>
      </c>
      <c r="U431" s="79">
        <v>0</v>
      </c>
      <c r="V431" s="79">
        <f t="shared" si="319"/>
        <v>99.999705117562428</v>
      </c>
      <c r="W431" s="47">
        <f t="shared" si="314"/>
        <v>41</v>
      </c>
      <c r="X431" s="247">
        <f t="shared" si="328"/>
        <v>13903805</v>
      </c>
      <c r="Y431" s="247">
        <f t="shared" si="326"/>
        <v>0</v>
      </c>
      <c r="Z431" s="247">
        <f t="shared" si="327"/>
        <v>0</v>
      </c>
      <c r="AA431" s="93"/>
    </row>
    <row r="432" spans="1:27">
      <c r="A432" s="97" t="s">
        <v>472</v>
      </c>
      <c r="B432" s="97" t="s">
        <v>473</v>
      </c>
      <c r="C432" s="98">
        <v>25626000</v>
      </c>
      <c r="D432" s="46">
        <v>0</v>
      </c>
      <c r="E432" s="46">
        <v>0</v>
      </c>
      <c r="F432" s="46">
        <f t="shared" si="329"/>
        <v>25626000</v>
      </c>
      <c r="G432" s="48">
        <v>25625460</v>
      </c>
      <c r="H432" s="47"/>
      <c r="I432" s="47"/>
      <c r="J432" s="47">
        <f t="shared" si="316"/>
        <v>25625460</v>
      </c>
      <c r="K432" s="47"/>
      <c r="L432" s="47"/>
      <c r="M432" s="47"/>
      <c r="N432" s="47">
        <f t="shared" si="323"/>
        <v>0</v>
      </c>
      <c r="O432" s="47">
        <f t="shared" si="292"/>
        <v>25625460</v>
      </c>
      <c r="P432" s="47">
        <f t="shared" si="293"/>
        <v>0</v>
      </c>
      <c r="Q432" s="47">
        <f t="shared" si="294"/>
        <v>0</v>
      </c>
      <c r="R432" s="47">
        <f t="shared" si="295"/>
        <v>25625460</v>
      </c>
      <c r="S432" s="79">
        <f t="shared" si="318"/>
        <v>99.997892765160373</v>
      </c>
      <c r="T432" s="79">
        <v>0</v>
      </c>
      <c r="U432" s="79">
        <v>0</v>
      </c>
      <c r="V432" s="79">
        <f t="shared" si="319"/>
        <v>99.997892765160373</v>
      </c>
      <c r="W432" s="47">
        <f t="shared" si="314"/>
        <v>540</v>
      </c>
      <c r="X432" s="247">
        <f t="shared" si="328"/>
        <v>25625460</v>
      </c>
      <c r="Y432" s="247">
        <f t="shared" si="326"/>
        <v>0</v>
      </c>
      <c r="Z432" s="247">
        <f t="shared" si="327"/>
        <v>0</v>
      </c>
      <c r="AA432" s="93"/>
    </row>
    <row r="433" spans="1:27">
      <c r="A433" s="97" t="s">
        <v>474</v>
      </c>
      <c r="B433" s="97" t="s">
        <v>475</v>
      </c>
      <c r="C433" s="98">
        <v>4311600</v>
      </c>
      <c r="D433" s="46">
        <v>0</v>
      </c>
      <c r="E433" s="46">
        <v>0</v>
      </c>
      <c r="F433" s="46">
        <f t="shared" si="329"/>
        <v>4311600</v>
      </c>
      <c r="G433" s="48">
        <v>4311000</v>
      </c>
      <c r="H433" s="47"/>
      <c r="I433" s="47"/>
      <c r="J433" s="47">
        <f t="shared" si="316"/>
        <v>4311000</v>
      </c>
      <c r="K433" s="47"/>
      <c r="L433" s="47"/>
      <c r="M433" s="47"/>
      <c r="N433" s="47">
        <f t="shared" si="323"/>
        <v>0</v>
      </c>
      <c r="O433" s="47">
        <f t="shared" si="292"/>
        <v>4311000</v>
      </c>
      <c r="P433" s="47">
        <f t="shared" si="293"/>
        <v>0</v>
      </c>
      <c r="Q433" s="47">
        <f t="shared" si="294"/>
        <v>0</v>
      </c>
      <c r="R433" s="47">
        <f t="shared" si="295"/>
        <v>4311000</v>
      </c>
      <c r="S433" s="79">
        <f t="shared" si="318"/>
        <v>99.98608405232396</v>
      </c>
      <c r="T433" s="79">
        <v>0</v>
      </c>
      <c r="U433" s="79">
        <v>0</v>
      </c>
      <c r="V433" s="79">
        <f t="shared" si="319"/>
        <v>99.98608405232396</v>
      </c>
      <c r="W433" s="47">
        <f t="shared" si="314"/>
        <v>600</v>
      </c>
      <c r="X433" s="247">
        <f t="shared" si="328"/>
        <v>4311000</v>
      </c>
      <c r="Y433" s="247">
        <f t="shared" si="326"/>
        <v>0</v>
      </c>
      <c r="Z433" s="247">
        <f t="shared" si="327"/>
        <v>0</v>
      </c>
      <c r="AA433" s="93"/>
    </row>
    <row r="434" spans="1:27">
      <c r="A434" s="97" t="s">
        <v>421</v>
      </c>
      <c r="B434" s="97" t="s">
        <v>422</v>
      </c>
      <c r="C434" s="98">
        <v>20345500</v>
      </c>
      <c r="D434" s="46">
        <v>0</v>
      </c>
      <c r="E434" s="46">
        <v>0</v>
      </c>
      <c r="F434" s="46">
        <f t="shared" si="329"/>
        <v>20345500</v>
      </c>
      <c r="G434" s="48">
        <v>20345000</v>
      </c>
      <c r="H434" s="47"/>
      <c r="I434" s="47"/>
      <c r="J434" s="47">
        <f t="shared" si="316"/>
        <v>20345000</v>
      </c>
      <c r="K434" s="47"/>
      <c r="L434" s="47"/>
      <c r="M434" s="47"/>
      <c r="N434" s="47">
        <f t="shared" si="323"/>
        <v>0</v>
      </c>
      <c r="O434" s="47">
        <f t="shared" si="292"/>
        <v>20345000</v>
      </c>
      <c r="P434" s="47">
        <f t="shared" si="293"/>
        <v>0</v>
      </c>
      <c r="Q434" s="47">
        <f t="shared" si="294"/>
        <v>0</v>
      </c>
      <c r="R434" s="47">
        <f t="shared" si="295"/>
        <v>20345000</v>
      </c>
      <c r="S434" s="79">
        <f t="shared" si="318"/>
        <v>99.997542454105329</v>
      </c>
      <c r="T434" s="79">
        <v>0</v>
      </c>
      <c r="U434" s="79">
        <v>0</v>
      </c>
      <c r="V434" s="79">
        <f t="shared" si="319"/>
        <v>99.997542454105329</v>
      </c>
      <c r="W434" s="47">
        <f t="shared" si="314"/>
        <v>500</v>
      </c>
      <c r="X434" s="247">
        <f t="shared" si="328"/>
        <v>20345000</v>
      </c>
      <c r="Y434" s="247">
        <f t="shared" si="326"/>
        <v>0</v>
      </c>
      <c r="Z434" s="247">
        <f t="shared" si="327"/>
        <v>0</v>
      </c>
      <c r="AA434" s="93"/>
    </row>
    <row r="435" spans="1:27" s="9" customFormat="1" ht="22.5" customHeight="1">
      <c r="A435" s="38" t="s">
        <v>169</v>
      </c>
      <c r="B435" s="61" t="s">
        <v>170</v>
      </c>
      <c r="C435" s="62">
        <f>C436+C438+C443+C445</f>
        <v>746259420</v>
      </c>
      <c r="D435" s="62">
        <f>D436+D438+D443+D445</f>
        <v>0</v>
      </c>
      <c r="E435" s="62">
        <f>E436+E438+E443+E445</f>
        <v>0</v>
      </c>
      <c r="F435" s="62">
        <f t="shared" si="329"/>
        <v>746259420</v>
      </c>
      <c r="G435" s="62">
        <f t="shared" ref="G435:I435" si="340">G436+G438+G443+G445</f>
        <v>388353790</v>
      </c>
      <c r="H435" s="62">
        <f t="shared" si="340"/>
        <v>0</v>
      </c>
      <c r="I435" s="62">
        <f t="shared" si="340"/>
        <v>0</v>
      </c>
      <c r="J435" s="62">
        <f t="shared" si="316"/>
        <v>388353790</v>
      </c>
      <c r="K435" s="62">
        <f t="shared" ref="K435:M435" si="341">K436+K438+K443+K445</f>
        <v>0</v>
      </c>
      <c r="L435" s="62">
        <f t="shared" si="341"/>
        <v>0</v>
      </c>
      <c r="M435" s="62">
        <f t="shared" si="341"/>
        <v>0</v>
      </c>
      <c r="N435" s="62">
        <f t="shared" si="323"/>
        <v>0</v>
      </c>
      <c r="O435" s="62">
        <f t="shared" si="292"/>
        <v>388353790</v>
      </c>
      <c r="P435" s="62">
        <f t="shared" si="293"/>
        <v>0</v>
      </c>
      <c r="Q435" s="62">
        <f t="shared" si="294"/>
        <v>0</v>
      </c>
      <c r="R435" s="62">
        <f t="shared" si="295"/>
        <v>388353790</v>
      </c>
      <c r="S435" s="85">
        <f t="shared" si="318"/>
        <v>52.040051970131238</v>
      </c>
      <c r="T435" s="85">
        <v>0</v>
      </c>
      <c r="U435" s="85">
        <v>0</v>
      </c>
      <c r="V435" s="85">
        <f t="shared" si="319"/>
        <v>52.040051970131238</v>
      </c>
      <c r="W435" s="62">
        <f t="shared" si="314"/>
        <v>357905630</v>
      </c>
      <c r="X435" s="247">
        <f t="shared" si="328"/>
        <v>388353790</v>
      </c>
      <c r="Y435" s="247">
        <f t="shared" si="326"/>
        <v>0</v>
      </c>
      <c r="Z435" s="247">
        <f t="shared" si="327"/>
        <v>0</v>
      </c>
      <c r="AA435" s="93"/>
    </row>
    <row r="436" spans="1:27" s="8" customFormat="1">
      <c r="A436" s="96" t="s">
        <v>171</v>
      </c>
      <c r="B436" s="96" t="s">
        <v>172</v>
      </c>
      <c r="C436" s="60">
        <f>C437</f>
        <v>5000000</v>
      </c>
      <c r="D436" s="60">
        <f>D437</f>
        <v>0</v>
      </c>
      <c r="E436" s="60">
        <f>E437</f>
        <v>0</v>
      </c>
      <c r="F436" s="60">
        <f t="shared" si="329"/>
        <v>5000000</v>
      </c>
      <c r="G436" s="60">
        <f t="shared" ref="G436:I436" si="342">G437</f>
        <v>5000000</v>
      </c>
      <c r="H436" s="60">
        <f t="shared" si="342"/>
        <v>0</v>
      </c>
      <c r="I436" s="60">
        <f t="shared" si="342"/>
        <v>0</v>
      </c>
      <c r="J436" s="60">
        <f t="shared" si="316"/>
        <v>5000000</v>
      </c>
      <c r="K436" s="60">
        <f t="shared" ref="K436:M436" si="343">K437</f>
        <v>0</v>
      </c>
      <c r="L436" s="60">
        <f t="shared" si="343"/>
        <v>0</v>
      </c>
      <c r="M436" s="60">
        <f t="shared" si="343"/>
        <v>0</v>
      </c>
      <c r="N436" s="60">
        <f t="shared" si="323"/>
        <v>0</v>
      </c>
      <c r="O436" s="60">
        <f t="shared" si="292"/>
        <v>5000000</v>
      </c>
      <c r="P436" s="60">
        <f t="shared" si="293"/>
        <v>0</v>
      </c>
      <c r="Q436" s="60">
        <f t="shared" si="294"/>
        <v>0</v>
      </c>
      <c r="R436" s="60">
        <f t="shared" si="295"/>
        <v>5000000</v>
      </c>
      <c r="S436" s="84">
        <f t="shared" si="318"/>
        <v>100</v>
      </c>
      <c r="T436" s="84">
        <v>0</v>
      </c>
      <c r="U436" s="84">
        <v>0</v>
      </c>
      <c r="V436" s="84">
        <f t="shared" si="319"/>
        <v>100</v>
      </c>
      <c r="W436" s="60">
        <f t="shared" si="314"/>
        <v>0</v>
      </c>
      <c r="X436" s="247">
        <f t="shared" si="328"/>
        <v>5000000</v>
      </c>
      <c r="Y436" s="247">
        <f t="shared" si="326"/>
        <v>0</v>
      </c>
      <c r="Z436" s="247">
        <f t="shared" si="327"/>
        <v>0</v>
      </c>
      <c r="AA436" s="93"/>
    </row>
    <row r="437" spans="1:27">
      <c r="A437" s="97" t="s">
        <v>173</v>
      </c>
      <c r="B437" s="97" t="s">
        <v>174</v>
      </c>
      <c r="C437" s="98">
        <v>5000000</v>
      </c>
      <c r="D437" s="46">
        <v>0</v>
      </c>
      <c r="E437" s="46">
        <v>0</v>
      </c>
      <c r="F437" s="46">
        <f t="shared" si="329"/>
        <v>5000000</v>
      </c>
      <c r="G437" s="63">
        <v>5000000</v>
      </c>
      <c r="H437" s="47"/>
      <c r="I437" s="47"/>
      <c r="J437" s="47">
        <f t="shared" si="316"/>
        <v>5000000</v>
      </c>
      <c r="K437" s="63"/>
      <c r="L437" s="47"/>
      <c r="M437" s="47"/>
      <c r="N437" s="47">
        <f t="shared" si="323"/>
        <v>0</v>
      </c>
      <c r="O437" s="47">
        <f t="shared" si="292"/>
        <v>5000000</v>
      </c>
      <c r="P437" s="47">
        <f t="shared" si="293"/>
        <v>0</v>
      </c>
      <c r="Q437" s="47">
        <f t="shared" si="294"/>
        <v>0</v>
      </c>
      <c r="R437" s="47">
        <f t="shared" si="295"/>
        <v>5000000</v>
      </c>
      <c r="S437" s="79">
        <f t="shared" si="318"/>
        <v>100</v>
      </c>
      <c r="T437" s="79">
        <v>0</v>
      </c>
      <c r="U437" s="79">
        <v>0</v>
      </c>
      <c r="V437" s="79">
        <f t="shared" si="319"/>
        <v>100</v>
      </c>
      <c r="W437" s="47">
        <f t="shared" si="314"/>
        <v>0</v>
      </c>
      <c r="X437" s="247">
        <f t="shared" si="328"/>
        <v>5000000</v>
      </c>
      <c r="Y437" s="247">
        <f t="shared" si="326"/>
        <v>0</v>
      </c>
      <c r="Z437" s="247">
        <f t="shared" si="327"/>
        <v>0</v>
      </c>
      <c r="AA437" s="93"/>
    </row>
    <row r="438" spans="1:27" s="8" customFormat="1">
      <c r="A438" s="96" t="s">
        <v>175</v>
      </c>
      <c r="B438" s="96" t="s">
        <v>176</v>
      </c>
      <c r="C438" s="60">
        <f>SUM(C439:C442)</f>
        <v>128608800</v>
      </c>
      <c r="D438" s="60">
        <f>SUM(D439:D442)</f>
        <v>0</v>
      </c>
      <c r="E438" s="60">
        <f>SUM(E439:E442)</f>
        <v>0</v>
      </c>
      <c r="F438" s="60">
        <f t="shared" si="329"/>
        <v>128608800</v>
      </c>
      <c r="G438" s="60">
        <f t="shared" ref="G438:I438" si="344">SUM(G439:G442)</f>
        <v>85153790</v>
      </c>
      <c r="H438" s="60">
        <f t="shared" si="344"/>
        <v>0</v>
      </c>
      <c r="I438" s="60">
        <f t="shared" si="344"/>
        <v>0</v>
      </c>
      <c r="J438" s="60">
        <f t="shared" si="316"/>
        <v>85153790</v>
      </c>
      <c r="K438" s="60">
        <f t="shared" ref="K438:M438" si="345">SUM(K439:K442)</f>
        <v>0</v>
      </c>
      <c r="L438" s="60">
        <f t="shared" si="345"/>
        <v>0</v>
      </c>
      <c r="M438" s="60">
        <f t="shared" si="345"/>
        <v>0</v>
      </c>
      <c r="N438" s="60">
        <f t="shared" si="323"/>
        <v>0</v>
      </c>
      <c r="O438" s="60">
        <f t="shared" si="292"/>
        <v>85153790</v>
      </c>
      <c r="P438" s="60">
        <f t="shared" si="293"/>
        <v>0</v>
      </c>
      <c r="Q438" s="60">
        <f t="shared" si="294"/>
        <v>0</v>
      </c>
      <c r="R438" s="60">
        <f t="shared" si="295"/>
        <v>85153790</v>
      </c>
      <c r="S438" s="84">
        <f t="shared" si="318"/>
        <v>66.211480085344093</v>
      </c>
      <c r="T438" s="84">
        <v>0</v>
      </c>
      <c r="U438" s="84">
        <v>0</v>
      </c>
      <c r="V438" s="84">
        <f t="shared" si="319"/>
        <v>66.211480085344093</v>
      </c>
      <c r="W438" s="60">
        <f t="shared" si="314"/>
        <v>43455010</v>
      </c>
      <c r="X438" s="247">
        <f t="shared" si="328"/>
        <v>85153790</v>
      </c>
      <c r="Y438" s="247">
        <f t="shared" si="326"/>
        <v>0</v>
      </c>
      <c r="Z438" s="247">
        <f t="shared" si="327"/>
        <v>0</v>
      </c>
      <c r="AA438" s="93"/>
    </row>
    <row r="439" spans="1:27">
      <c r="A439" s="97" t="s">
        <v>177</v>
      </c>
      <c r="B439" s="97" t="s">
        <v>178</v>
      </c>
      <c r="C439" s="98">
        <v>600000</v>
      </c>
      <c r="D439" s="46">
        <v>0</v>
      </c>
      <c r="E439" s="46">
        <v>0</v>
      </c>
      <c r="F439" s="46">
        <f t="shared" si="329"/>
        <v>600000</v>
      </c>
      <c r="G439" s="47">
        <v>464000</v>
      </c>
      <c r="H439" s="47">
        <v>0</v>
      </c>
      <c r="I439" s="47">
        <v>0</v>
      </c>
      <c r="J439" s="47">
        <f t="shared" si="316"/>
        <v>464000</v>
      </c>
      <c r="K439" s="47"/>
      <c r="L439" s="47"/>
      <c r="M439" s="47"/>
      <c r="N439" s="47">
        <f t="shared" si="323"/>
        <v>0</v>
      </c>
      <c r="O439" s="47">
        <f t="shared" si="292"/>
        <v>464000</v>
      </c>
      <c r="P439" s="47">
        <f t="shared" si="293"/>
        <v>0</v>
      </c>
      <c r="Q439" s="47">
        <f t="shared" si="294"/>
        <v>0</v>
      </c>
      <c r="R439" s="47">
        <f t="shared" si="295"/>
        <v>464000</v>
      </c>
      <c r="S439" s="79">
        <f t="shared" si="318"/>
        <v>77.333333333333329</v>
      </c>
      <c r="T439" s="79">
        <v>0</v>
      </c>
      <c r="U439" s="79">
        <v>0</v>
      </c>
      <c r="V439" s="79">
        <f t="shared" si="319"/>
        <v>77.333333333333329</v>
      </c>
      <c r="W439" s="47">
        <f t="shared" si="314"/>
        <v>136000</v>
      </c>
      <c r="X439" s="247">
        <f t="shared" si="328"/>
        <v>464000</v>
      </c>
      <c r="Y439" s="247">
        <f t="shared" si="326"/>
        <v>0</v>
      </c>
      <c r="Z439" s="247">
        <f t="shared" si="327"/>
        <v>0</v>
      </c>
      <c r="AA439" s="93"/>
    </row>
    <row r="440" spans="1:27">
      <c r="A440" s="97" t="s">
        <v>179</v>
      </c>
      <c r="B440" s="97" t="s">
        <v>180</v>
      </c>
      <c r="C440" s="98">
        <v>4590000</v>
      </c>
      <c r="D440" s="46">
        <v>0</v>
      </c>
      <c r="E440" s="46">
        <v>0</v>
      </c>
      <c r="F440" s="46">
        <f t="shared" si="329"/>
        <v>4590000</v>
      </c>
      <c r="G440" s="47">
        <v>1224407</v>
      </c>
      <c r="H440" s="47">
        <v>0</v>
      </c>
      <c r="I440" s="47">
        <v>0</v>
      </c>
      <c r="J440" s="47">
        <f t="shared" si="316"/>
        <v>1224407</v>
      </c>
      <c r="K440" s="47"/>
      <c r="L440" s="47"/>
      <c r="M440" s="47"/>
      <c r="N440" s="47">
        <f t="shared" si="323"/>
        <v>0</v>
      </c>
      <c r="O440" s="47">
        <f t="shared" si="292"/>
        <v>1224407</v>
      </c>
      <c r="P440" s="47">
        <f t="shared" si="293"/>
        <v>0</v>
      </c>
      <c r="Q440" s="47">
        <f t="shared" si="294"/>
        <v>0</v>
      </c>
      <c r="R440" s="47">
        <f t="shared" si="295"/>
        <v>1224407</v>
      </c>
      <c r="S440" s="79">
        <f t="shared" si="318"/>
        <v>26.675533769063183</v>
      </c>
      <c r="T440" s="79">
        <v>0</v>
      </c>
      <c r="U440" s="79">
        <v>0</v>
      </c>
      <c r="V440" s="79">
        <f t="shared" si="319"/>
        <v>26.675533769063183</v>
      </c>
      <c r="W440" s="47">
        <f t="shared" si="314"/>
        <v>3365593</v>
      </c>
      <c r="X440" s="247">
        <f t="shared" si="328"/>
        <v>1224407</v>
      </c>
      <c r="Y440" s="247">
        <f t="shared" si="326"/>
        <v>0</v>
      </c>
      <c r="Z440" s="247">
        <f t="shared" si="327"/>
        <v>0</v>
      </c>
      <c r="AA440" s="93"/>
    </row>
    <row r="441" spans="1:27">
      <c r="A441" s="97" t="s">
        <v>181</v>
      </c>
      <c r="B441" s="97" t="s">
        <v>182</v>
      </c>
      <c r="C441" s="98">
        <v>59482800</v>
      </c>
      <c r="D441" s="46">
        <v>0</v>
      </c>
      <c r="E441" s="46">
        <v>0</v>
      </c>
      <c r="F441" s="46">
        <f t="shared" si="329"/>
        <v>59482800</v>
      </c>
      <c r="G441" s="47">
        <v>46812183</v>
      </c>
      <c r="H441" s="47">
        <v>0</v>
      </c>
      <c r="I441" s="47">
        <v>0</v>
      </c>
      <c r="J441" s="47">
        <f t="shared" si="316"/>
        <v>46812183</v>
      </c>
      <c r="K441" s="47"/>
      <c r="L441" s="47"/>
      <c r="M441" s="47"/>
      <c r="N441" s="47">
        <f t="shared" si="323"/>
        <v>0</v>
      </c>
      <c r="O441" s="47">
        <f t="shared" si="292"/>
        <v>46812183</v>
      </c>
      <c r="P441" s="47">
        <f t="shared" si="293"/>
        <v>0</v>
      </c>
      <c r="Q441" s="47">
        <f t="shared" si="294"/>
        <v>0</v>
      </c>
      <c r="R441" s="47">
        <f t="shared" si="295"/>
        <v>46812183</v>
      </c>
      <c r="S441" s="79">
        <f t="shared" si="318"/>
        <v>78.698687687869437</v>
      </c>
      <c r="T441" s="79">
        <v>0</v>
      </c>
      <c r="U441" s="79">
        <v>0</v>
      </c>
      <c r="V441" s="79">
        <f t="shared" si="319"/>
        <v>78.698687687869437</v>
      </c>
      <c r="W441" s="47">
        <f t="shared" si="314"/>
        <v>12670617</v>
      </c>
      <c r="X441" s="247">
        <f t="shared" si="328"/>
        <v>46812183</v>
      </c>
      <c r="Y441" s="247">
        <f t="shared" si="326"/>
        <v>0</v>
      </c>
      <c r="Z441" s="247">
        <f t="shared" si="327"/>
        <v>0</v>
      </c>
      <c r="AA441" s="93"/>
    </row>
    <row r="442" spans="1:27">
      <c r="A442" s="97" t="s">
        <v>183</v>
      </c>
      <c r="B442" s="97" t="s">
        <v>184</v>
      </c>
      <c r="C442" s="98">
        <v>63936000</v>
      </c>
      <c r="D442" s="46">
        <v>0</v>
      </c>
      <c r="E442" s="46">
        <v>0</v>
      </c>
      <c r="F442" s="46">
        <f t="shared" si="329"/>
        <v>63936000</v>
      </c>
      <c r="G442" s="47">
        <v>36653200</v>
      </c>
      <c r="H442" s="47">
        <v>0</v>
      </c>
      <c r="I442" s="47">
        <v>0</v>
      </c>
      <c r="J442" s="47">
        <f t="shared" si="316"/>
        <v>36653200</v>
      </c>
      <c r="K442" s="47"/>
      <c r="L442" s="47"/>
      <c r="M442" s="47"/>
      <c r="N442" s="47">
        <f t="shared" si="323"/>
        <v>0</v>
      </c>
      <c r="O442" s="47">
        <f t="shared" ref="O442:O506" si="346">K442+G442</f>
        <v>36653200</v>
      </c>
      <c r="P442" s="47">
        <f t="shared" ref="P442:P506" si="347">L442+H442</f>
        <v>0</v>
      </c>
      <c r="Q442" s="47">
        <f t="shared" ref="Q442:Q506" si="348">M442+I442</f>
        <v>0</v>
      </c>
      <c r="R442" s="47">
        <f t="shared" ref="R442:R506" si="349">SUM(O442:Q442)</f>
        <v>36653200</v>
      </c>
      <c r="S442" s="79">
        <f t="shared" si="318"/>
        <v>57.327952952952955</v>
      </c>
      <c r="T442" s="79">
        <v>0</v>
      </c>
      <c r="U442" s="79">
        <v>0</v>
      </c>
      <c r="V442" s="79">
        <f t="shared" si="319"/>
        <v>57.327952952952955</v>
      </c>
      <c r="W442" s="47">
        <f t="shared" si="314"/>
        <v>27282800</v>
      </c>
      <c r="X442" s="247">
        <f t="shared" si="328"/>
        <v>36653200</v>
      </c>
      <c r="Y442" s="247">
        <f t="shared" si="326"/>
        <v>0</v>
      </c>
      <c r="Z442" s="247">
        <f t="shared" si="327"/>
        <v>0</v>
      </c>
      <c r="AA442" s="93"/>
    </row>
    <row r="443" spans="1:27" s="8" customFormat="1">
      <c r="A443" s="96" t="s">
        <v>185</v>
      </c>
      <c r="B443" s="96" t="s">
        <v>186</v>
      </c>
      <c r="C443" s="60">
        <f>C444</f>
        <v>336108000</v>
      </c>
      <c r="D443" s="60">
        <f t="shared" ref="D443:M443" si="350">SUM(D444:D444)</f>
        <v>0</v>
      </c>
      <c r="E443" s="60">
        <f t="shared" si="350"/>
        <v>0</v>
      </c>
      <c r="F443" s="60">
        <f t="shared" si="329"/>
        <v>336108000</v>
      </c>
      <c r="G443" s="60">
        <f>SUM(G444)</f>
        <v>161400000</v>
      </c>
      <c r="H443" s="60">
        <f t="shared" ref="H443:I443" si="351">SUM(H444:H444)</f>
        <v>0</v>
      </c>
      <c r="I443" s="60">
        <f t="shared" si="351"/>
        <v>0</v>
      </c>
      <c r="J443" s="60">
        <f t="shared" si="316"/>
        <v>161400000</v>
      </c>
      <c r="K443" s="60">
        <f t="shared" si="350"/>
        <v>0</v>
      </c>
      <c r="L443" s="60">
        <f t="shared" si="350"/>
        <v>0</v>
      </c>
      <c r="M443" s="60">
        <f t="shared" si="350"/>
        <v>0</v>
      </c>
      <c r="N443" s="60">
        <f t="shared" si="323"/>
        <v>0</v>
      </c>
      <c r="O443" s="60">
        <f t="shared" si="346"/>
        <v>161400000</v>
      </c>
      <c r="P443" s="60">
        <f t="shared" si="347"/>
        <v>0</v>
      </c>
      <c r="Q443" s="60">
        <f t="shared" si="348"/>
        <v>0</v>
      </c>
      <c r="R443" s="60">
        <f t="shared" si="349"/>
        <v>161400000</v>
      </c>
      <c r="S443" s="84">
        <f t="shared" si="318"/>
        <v>48.020279195972719</v>
      </c>
      <c r="T443" s="84">
        <v>0</v>
      </c>
      <c r="U443" s="84">
        <v>0</v>
      </c>
      <c r="V443" s="84">
        <f t="shared" si="319"/>
        <v>48.020279195972719</v>
      </c>
      <c r="W443" s="60">
        <f t="shared" si="314"/>
        <v>174708000</v>
      </c>
      <c r="X443" s="247">
        <f t="shared" si="328"/>
        <v>161400000</v>
      </c>
      <c r="Y443" s="247">
        <f t="shared" si="326"/>
        <v>0</v>
      </c>
      <c r="Z443" s="247">
        <f t="shared" si="327"/>
        <v>0</v>
      </c>
      <c r="AA443" s="93"/>
    </row>
    <row r="444" spans="1:27">
      <c r="A444" s="97" t="s">
        <v>189</v>
      </c>
      <c r="B444" s="97" t="s">
        <v>190</v>
      </c>
      <c r="C444" s="98">
        <v>336108000</v>
      </c>
      <c r="D444" s="46">
        <v>0</v>
      </c>
      <c r="E444" s="46">
        <v>0</v>
      </c>
      <c r="F444" s="46">
        <f t="shared" si="329"/>
        <v>336108000</v>
      </c>
      <c r="G444" s="47">
        <v>161400000</v>
      </c>
      <c r="H444" s="47">
        <v>0</v>
      </c>
      <c r="I444" s="47">
        <v>0</v>
      </c>
      <c r="J444" s="47">
        <f t="shared" si="316"/>
        <v>161400000</v>
      </c>
      <c r="K444" s="47"/>
      <c r="L444" s="47"/>
      <c r="M444" s="47"/>
      <c r="N444" s="47">
        <f t="shared" si="323"/>
        <v>0</v>
      </c>
      <c r="O444" s="47">
        <f t="shared" si="346"/>
        <v>161400000</v>
      </c>
      <c r="P444" s="47">
        <f t="shared" si="347"/>
        <v>0</v>
      </c>
      <c r="Q444" s="47">
        <f t="shared" si="348"/>
        <v>0</v>
      </c>
      <c r="R444" s="47">
        <f t="shared" si="349"/>
        <v>161400000</v>
      </c>
      <c r="S444" s="79">
        <f t="shared" si="318"/>
        <v>48.020279195972719</v>
      </c>
      <c r="T444" s="79">
        <v>0</v>
      </c>
      <c r="U444" s="79">
        <v>0</v>
      </c>
      <c r="V444" s="79">
        <f t="shared" si="319"/>
        <v>48.020279195972719</v>
      </c>
      <c r="W444" s="47">
        <f t="shared" si="314"/>
        <v>174708000</v>
      </c>
      <c r="X444" s="247">
        <f t="shared" si="328"/>
        <v>161400000</v>
      </c>
      <c r="Y444" s="247">
        <f t="shared" si="326"/>
        <v>0</v>
      </c>
      <c r="Z444" s="247">
        <f t="shared" si="327"/>
        <v>0</v>
      </c>
      <c r="AA444" s="93"/>
    </row>
    <row r="445" spans="1:27" s="8" customFormat="1">
      <c r="A445" s="96" t="s">
        <v>191</v>
      </c>
      <c r="B445" s="96" t="s">
        <v>192</v>
      </c>
      <c r="C445" s="60">
        <f>SUM(C446:C447)</f>
        <v>276542620</v>
      </c>
      <c r="D445" s="100">
        <f>SUM(D446:D447)</f>
        <v>0</v>
      </c>
      <c r="E445" s="100">
        <f>SUM(E446:E447)</f>
        <v>0</v>
      </c>
      <c r="F445" s="100">
        <f t="shared" si="329"/>
        <v>276542620</v>
      </c>
      <c r="G445" s="100">
        <f>SUM(G446:G447)</f>
        <v>136800000</v>
      </c>
      <c r="H445" s="100">
        <f t="shared" ref="H445:I445" si="352">SUM(H446:H447)</f>
        <v>0</v>
      </c>
      <c r="I445" s="100">
        <f t="shared" si="352"/>
        <v>0</v>
      </c>
      <c r="J445" s="100">
        <f t="shared" si="316"/>
        <v>136800000</v>
      </c>
      <c r="K445" s="100">
        <f t="shared" ref="K445:M445" si="353">SUM(K446:K447)</f>
        <v>0</v>
      </c>
      <c r="L445" s="100">
        <f t="shared" si="353"/>
        <v>0</v>
      </c>
      <c r="M445" s="100">
        <f t="shared" si="353"/>
        <v>0</v>
      </c>
      <c r="N445" s="100">
        <f t="shared" si="323"/>
        <v>0</v>
      </c>
      <c r="O445" s="100">
        <f t="shared" si="346"/>
        <v>136800000</v>
      </c>
      <c r="P445" s="100">
        <f t="shared" si="347"/>
        <v>0</v>
      </c>
      <c r="Q445" s="100">
        <f t="shared" si="348"/>
        <v>0</v>
      </c>
      <c r="R445" s="100">
        <f t="shared" si="349"/>
        <v>136800000</v>
      </c>
      <c r="S445" s="103">
        <f t="shared" si="318"/>
        <v>49.467962659788213</v>
      </c>
      <c r="T445" s="103">
        <v>0</v>
      </c>
      <c r="U445" s="103">
        <v>0</v>
      </c>
      <c r="V445" s="103">
        <f t="shared" si="319"/>
        <v>49.467962659788213</v>
      </c>
      <c r="W445" s="100">
        <f t="shared" si="314"/>
        <v>139742620</v>
      </c>
      <c r="X445" s="247">
        <f t="shared" si="328"/>
        <v>136800000</v>
      </c>
      <c r="Y445" s="247">
        <f t="shared" si="326"/>
        <v>0</v>
      </c>
      <c r="Z445" s="247">
        <f t="shared" si="327"/>
        <v>0</v>
      </c>
      <c r="AA445" s="93"/>
    </row>
    <row r="446" spans="1:27">
      <c r="A446" s="97" t="s">
        <v>110</v>
      </c>
      <c r="B446" s="97" t="s">
        <v>391</v>
      </c>
      <c r="C446" s="98">
        <v>220</v>
      </c>
      <c r="D446" s="46">
        <v>0</v>
      </c>
      <c r="E446" s="46">
        <v>0</v>
      </c>
      <c r="F446" s="46">
        <f t="shared" si="329"/>
        <v>220</v>
      </c>
      <c r="G446" s="63">
        <v>0</v>
      </c>
      <c r="H446" s="47">
        <v>0</v>
      </c>
      <c r="I446" s="47">
        <v>0</v>
      </c>
      <c r="J446" s="47">
        <f t="shared" si="316"/>
        <v>0</v>
      </c>
      <c r="K446" s="47"/>
      <c r="L446" s="47"/>
      <c r="M446" s="47"/>
      <c r="N446" s="47">
        <f t="shared" si="323"/>
        <v>0</v>
      </c>
      <c r="O446" s="47">
        <f t="shared" si="346"/>
        <v>0</v>
      </c>
      <c r="P446" s="47">
        <f t="shared" si="347"/>
        <v>0</v>
      </c>
      <c r="Q446" s="47">
        <f t="shared" si="348"/>
        <v>0</v>
      </c>
      <c r="R446" s="47">
        <f t="shared" si="349"/>
        <v>0</v>
      </c>
      <c r="S446" s="79">
        <f t="shared" si="318"/>
        <v>0</v>
      </c>
      <c r="T446" s="79">
        <v>0</v>
      </c>
      <c r="U446" s="79">
        <v>0</v>
      </c>
      <c r="V446" s="79">
        <f t="shared" si="319"/>
        <v>0</v>
      </c>
      <c r="W446" s="47">
        <f t="shared" si="314"/>
        <v>220</v>
      </c>
      <c r="X446" s="247">
        <f t="shared" si="328"/>
        <v>0</v>
      </c>
      <c r="Y446" s="247">
        <f t="shared" si="326"/>
        <v>0</v>
      </c>
      <c r="Z446" s="247">
        <f t="shared" si="327"/>
        <v>0</v>
      </c>
      <c r="AA446" s="93"/>
    </row>
    <row r="447" spans="1:27">
      <c r="A447" s="97" t="s">
        <v>476</v>
      </c>
      <c r="B447" s="97" t="s">
        <v>346</v>
      </c>
      <c r="C447" s="98">
        <v>276542400</v>
      </c>
      <c r="D447" s="46"/>
      <c r="E447" s="46"/>
      <c r="F447" s="46">
        <f t="shared" si="329"/>
        <v>276542400</v>
      </c>
      <c r="G447" s="47">
        <v>136800000</v>
      </c>
      <c r="H447" s="47">
        <v>0</v>
      </c>
      <c r="I447" s="47">
        <v>0</v>
      </c>
      <c r="J447" s="47">
        <f t="shared" si="316"/>
        <v>136800000</v>
      </c>
      <c r="K447" s="47"/>
      <c r="L447" s="47"/>
      <c r="M447" s="47"/>
      <c r="N447" s="47">
        <f t="shared" si="323"/>
        <v>0</v>
      </c>
      <c r="O447" s="47">
        <f t="shared" si="346"/>
        <v>136800000</v>
      </c>
      <c r="P447" s="47">
        <f t="shared" si="347"/>
        <v>0</v>
      </c>
      <c r="Q447" s="47">
        <f t="shared" si="348"/>
        <v>0</v>
      </c>
      <c r="R447" s="47">
        <f t="shared" si="349"/>
        <v>136800000</v>
      </c>
      <c r="S447" s="79">
        <f t="shared" si="318"/>
        <v>49.468002013434472</v>
      </c>
      <c r="T447" s="79">
        <v>0</v>
      </c>
      <c r="U447" s="79">
        <v>0</v>
      </c>
      <c r="V447" s="79">
        <f t="shared" si="319"/>
        <v>49.468002013434472</v>
      </c>
      <c r="W447" s="47">
        <f t="shared" si="314"/>
        <v>139742400</v>
      </c>
      <c r="X447" s="247">
        <f t="shared" si="328"/>
        <v>136800000</v>
      </c>
      <c r="Y447" s="247">
        <f t="shared" si="326"/>
        <v>0</v>
      </c>
      <c r="Z447" s="247">
        <f t="shared" si="327"/>
        <v>0</v>
      </c>
      <c r="AA447" s="93"/>
    </row>
    <row r="448" spans="1:27" s="9" customFormat="1" ht="21.75" customHeight="1">
      <c r="A448" s="38" t="s">
        <v>199</v>
      </c>
      <c r="B448" s="61" t="s">
        <v>200</v>
      </c>
      <c r="C448" s="101">
        <f>C449+C452+C454</f>
        <v>213316000</v>
      </c>
      <c r="D448" s="101">
        <f>D449+D452+D454</f>
        <v>0</v>
      </c>
      <c r="E448" s="101">
        <f>E449+E452+E454</f>
        <v>0</v>
      </c>
      <c r="F448" s="101">
        <f t="shared" si="329"/>
        <v>213316000</v>
      </c>
      <c r="G448" s="101">
        <f t="shared" ref="G448:I448" si="354">G449+G452+G454</f>
        <v>77047650</v>
      </c>
      <c r="H448" s="101">
        <f t="shared" si="354"/>
        <v>0</v>
      </c>
      <c r="I448" s="101">
        <f t="shared" si="354"/>
        <v>0</v>
      </c>
      <c r="J448" s="101">
        <f t="shared" si="316"/>
        <v>77047650</v>
      </c>
      <c r="K448" s="101">
        <f t="shared" ref="K448:M448" si="355">K449+K452+K454</f>
        <v>0</v>
      </c>
      <c r="L448" s="101">
        <f t="shared" si="355"/>
        <v>0</v>
      </c>
      <c r="M448" s="101">
        <f t="shared" si="355"/>
        <v>0</v>
      </c>
      <c r="N448" s="101">
        <f t="shared" si="323"/>
        <v>0</v>
      </c>
      <c r="O448" s="101">
        <f t="shared" si="346"/>
        <v>77047650</v>
      </c>
      <c r="P448" s="101">
        <f t="shared" si="347"/>
        <v>0</v>
      </c>
      <c r="Q448" s="101">
        <f t="shared" si="348"/>
        <v>0</v>
      </c>
      <c r="R448" s="101">
        <f t="shared" si="349"/>
        <v>77047650</v>
      </c>
      <c r="S448" s="104">
        <f t="shared" si="318"/>
        <v>36.119020607924398</v>
      </c>
      <c r="T448" s="104">
        <v>0</v>
      </c>
      <c r="U448" s="104">
        <v>0</v>
      </c>
      <c r="V448" s="104">
        <f t="shared" si="319"/>
        <v>36.119020607924398</v>
      </c>
      <c r="W448" s="101">
        <f t="shared" si="314"/>
        <v>136268350</v>
      </c>
      <c r="X448" s="247">
        <f t="shared" si="328"/>
        <v>77047650</v>
      </c>
      <c r="Y448" s="247">
        <f t="shared" si="326"/>
        <v>0</v>
      </c>
      <c r="Z448" s="247">
        <f t="shared" si="327"/>
        <v>0</v>
      </c>
      <c r="AA448" s="93"/>
    </row>
    <row r="449" spans="1:27" s="8" customFormat="1" ht="33">
      <c r="A449" s="96" t="s">
        <v>201</v>
      </c>
      <c r="B449" s="96" t="s">
        <v>202</v>
      </c>
      <c r="C449" s="60">
        <f>SUM(C450:C451)</f>
        <v>24406000</v>
      </c>
      <c r="D449" s="60">
        <f>SUM(D450:D451)</f>
        <v>0</v>
      </c>
      <c r="E449" s="60">
        <f>SUM(E450:E451)</f>
        <v>0</v>
      </c>
      <c r="F449" s="60">
        <f t="shared" si="329"/>
        <v>24406000</v>
      </c>
      <c r="G449" s="60">
        <f t="shared" ref="G449:H449" si="356">SUM(G450:G451)</f>
        <v>5496100</v>
      </c>
      <c r="H449" s="60">
        <f t="shared" si="356"/>
        <v>0</v>
      </c>
      <c r="I449" s="60">
        <f>SUM(I450:I451)</f>
        <v>0</v>
      </c>
      <c r="J449" s="60">
        <f t="shared" si="316"/>
        <v>5496100</v>
      </c>
      <c r="K449" s="60">
        <f t="shared" ref="K449:L449" si="357">SUM(K450:K451)</f>
        <v>0</v>
      </c>
      <c r="L449" s="60">
        <f t="shared" si="357"/>
        <v>0</v>
      </c>
      <c r="M449" s="60">
        <f>SUM(M450:M451)</f>
        <v>0</v>
      </c>
      <c r="N449" s="60">
        <f t="shared" si="323"/>
        <v>0</v>
      </c>
      <c r="O449" s="60">
        <f t="shared" si="346"/>
        <v>5496100</v>
      </c>
      <c r="P449" s="60">
        <f t="shared" si="347"/>
        <v>0</v>
      </c>
      <c r="Q449" s="60">
        <f t="shared" si="348"/>
        <v>0</v>
      </c>
      <c r="R449" s="60">
        <f t="shared" si="349"/>
        <v>5496100</v>
      </c>
      <c r="S449" s="84">
        <f t="shared" si="318"/>
        <v>22.519462427271982</v>
      </c>
      <c r="T449" s="84">
        <v>0</v>
      </c>
      <c r="U449" s="84">
        <v>0</v>
      </c>
      <c r="V449" s="84">
        <f t="shared" si="319"/>
        <v>22.519462427271982</v>
      </c>
      <c r="W449" s="60">
        <f t="shared" si="314"/>
        <v>18909900</v>
      </c>
      <c r="X449" s="247">
        <f t="shared" si="328"/>
        <v>5496100</v>
      </c>
      <c r="Y449" s="247">
        <f t="shared" si="326"/>
        <v>0</v>
      </c>
      <c r="Z449" s="247">
        <f t="shared" si="327"/>
        <v>0</v>
      </c>
      <c r="AA449" s="93"/>
    </row>
    <row r="450" spans="1:27">
      <c r="A450" s="97" t="s">
        <v>205</v>
      </c>
      <c r="B450" s="97" t="s">
        <v>206</v>
      </c>
      <c r="C450" s="98">
        <v>4000000</v>
      </c>
      <c r="D450" s="46">
        <v>0</v>
      </c>
      <c r="E450" s="46">
        <v>0</v>
      </c>
      <c r="F450" s="46">
        <f t="shared" si="329"/>
        <v>4000000</v>
      </c>
      <c r="G450" s="47">
        <v>1444600</v>
      </c>
      <c r="H450" s="47"/>
      <c r="I450" s="47"/>
      <c r="J450" s="47">
        <f t="shared" si="316"/>
        <v>1444600</v>
      </c>
      <c r="K450" s="47"/>
      <c r="L450" s="47"/>
      <c r="M450" s="47"/>
      <c r="N450" s="47">
        <f t="shared" si="323"/>
        <v>0</v>
      </c>
      <c r="O450" s="47">
        <f t="shared" si="346"/>
        <v>1444600</v>
      </c>
      <c r="P450" s="47">
        <f t="shared" si="347"/>
        <v>0</v>
      </c>
      <c r="Q450" s="47">
        <f t="shared" si="348"/>
        <v>0</v>
      </c>
      <c r="R450" s="47">
        <f t="shared" si="349"/>
        <v>1444600</v>
      </c>
      <c r="S450" s="79">
        <f t="shared" si="318"/>
        <v>36.115000000000002</v>
      </c>
      <c r="T450" s="79">
        <v>0</v>
      </c>
      <c r="U450" s="79">
        <v>0</v>
      </c>
      <c r="V450" s="79">
        <f t="shared" si="319"/>
        <v>36.115000000000002</v>
      </c>
      <c r="W450" s="47">
        <f t="shared" si="314"/>
        <v>2555400</v>
      </c>
      <c r="X450" s="247">
        <f t="shared" si="328"/>
        <v>1444600</v>
      </c>
      <c r="Y450" s="247">
        <f t="shared" si="326"/>
        <v>0</v>
      </c>
      <c r="Z450" s="247">
        <f t="shared" si="327"/>
        <v>0</v>
      </c>
      <c r="AA450" s="93"/>
    </row>
    <row r="451" spans="1:27" ht="33">
      <c r="A451" s="97" t="s">
        <v>477</v>
      </c>
      <c r="B451" s="97" t="s">
        <v>478</v>
      </c>
      <c r="C451" s="98">
        <v>20406000</v>
      </c>
      <c r="D451" s="46">
        <v>0</v>
      </c>
      <c r="E451" s="46">
        <v>0</v>
      </c>
      <c r="F451" s="46">
        <f t="shared" si="329"/>
        <v>20406000</v>
      </c>
      <c r="G451" s="63">
        <v>4051500</v>
      </c>
      <c r="H451" s="47"/>
      <c r="I451" s="47"/>
      <c r="J451" s="47">
        <f t="shared" si="316"/>
        <v>4051500</v>
      </c>
      <c r="K451" s="47"/>
      <c r="L451" s="47"/>
      <c r="M451" s="47"/>
      <c r="N451" s="47">
        <f t="shared" si="323"/>
        <v>0</v>
      </c>
      <c r="O451" s="47">
        <f t="shared" si="346"/>
        <v>4051500</v>
      </c>
      <c r="P451" s="47">
        <f t="shared" si="347"/>
        <v>0</v>
      </c>
      <c r="Q451" s="47">
        <f t="shared" si="348"/>
        <v>0</v>
      </c>
      <c r="R451" s="47">
        <f t="shared" si="349"/>
        <v>4051500</v>
      </c>
      <c r="S451" s="79">
        <f t="shared" si="318"/>
        <v>19.85445457218465</v>
      </c>
      <c r="T451" s="79">
        <v>0</v>
      </c>
      <c r="U451" s="79">
        <v>0</v>
      </c>
      <c r="V451" s="79">
        <f t="shared" si="319"/>
        <v>19.85445457218465</v>
      </c>
      <c r="W451" s="47">
        <f t="shared" si="314"/>
        <v>16354500</v>
      </c>
      <c r="X451" s="247">
        <f t="shared" si="328"/>
        <v>4051500</v>
      </c>
      <c r="Y451" s="247">
        <f t="shared" si="326"/>
        <v>0</v>
      </c>
      <c r="Z451" s="247">
        <f t="shared" si="327"/>
        <v>0</v>
      </c>
      <c r="AA451" s="93"/>
    </row>
    <row r="452" spans="1:27" s="8" customFormat="1">
      <c r="A452" s="96" t="s">
        <v>207</v>
      </c>
      <c r="B452" s="96" t="s">
        <v>208</v>
      </c>
      <c r="C452" s="100">
        <f>SUM(C453:C453)</f>
        <v>149000000</v>
      </c>
      <c r="D452" s="100">
        <f>SUM(D453:D453)</f>
        <v>0</v>
      </c>
      <c r="E452" s="100">
        <f>SUM(E453:E453)</f>
        <v>0</v>
      </c>
      <c r="F452" s="100">
        <f t="shared" si="329"/>
        <v>149000000</v>
      </c>
      <c r="G452" s="100">
        <f t="shared" ref="G452:I452" si="358">SUM(G453:G453)</f>
        <v>50816400</v>
      </c>
      <c r="H452" s="100">
        <f t="shared" si="358"/>
        <v>0</v>
      </c>
      <c r="I452" s="100">
        <f t="shared" si="358"/>
        <v>0</v>
      </c>
      <c r="J452" s="100">
        <f t="shared" si="316"/>
        <v>50816400</v>
      </c>
      <c r="K452" s="100">
        <f t="shared" ref="K452:M452" si="359">SUM(K453:K453)</f>
        <v>0</v>
      </c>
      <c r="L452" s="100">
        <f t="shared" si="359"/>
        <v>0</v>
      </c>
      <c r="M452" s="100">
        <f t="shared" si="359"/>
        <v>0</v>
      </c>
      <c r="N452" s="100">
        <f t="shared" si="323"/>
        <v>0</v>
      </c>
      <c r="O452" s="100">
        <f t="shared" si="346"/>
        <v>50816400</v>
      </c>
      <c r="P452" s="100">
        <f t="shared" si="347"/>
        <v>0</v>
      </c>
      <c r="Q452" s="100">
        <f t="shared" si="348"/>
        <v>0</v>
      </c>
      <c r="R452" s="100">
        <f t="shared" si="349"/>
        <v>50816400</v>
      </c>
      <c r="S452" s="103">
        <f t="shared" si="318"/>
        <v>34.104966442953021</v>
      </c>
      <c r="T452" s="103">
        <v>0</v>
      </c>
      <c r="U452" s="103">
        <v>0</v>
      </c>
      <c r="V452" s="103">
        <f t="shared" si="319"/>
        <v>34.104966442953021</v>
      </c>
      <c r="W452" s="100">
        <f t="shared" si="314"/>
        <v>98183600</v>
      </c>
      <c r="X452" s="247">
        <f t="shared" si="328"/>
        <v>50816400</v>
      </c>
      <c r="Y452" s="247">
        <f t="shared" si="326"/>
        <v>0</v>
      </c>
      <c r="Z452" s="247">
        <f t="shared" si="327"/>
        <v>0</v>
      </c>
      <c r="AA452" s="93"/>
    </row>
    <row r="453" spans="1:27" ht="33">
      <c r="A453" s="97" t="s">
        <v>209</v>
      </c>
      <c r="B453" s="97" t="s">
        <v>210</v>
      </c>
      <c r="C453" s="98">
        <v>149000000</v>
      </c>
      <c r="D453" s="46">
        <v>0</v>
      </c>
      <c r="E453" s="46">
        <v>0</v>
      </c>
      <c r="F453" s="46">
        <f t="shared" si="329"/>
        <v>149000000</v>
      </c>
      <c r="G453" s="47">
        <v>50816400</v>
      </c>
      <c r="H453" s="47">
        <v>0</v>
      </c>
      <c r="I453" s="47">
        <v>0</v>
      </c>
      <c r="J453" s="47">
        <f t="shared" si="316"/>
        <v>50816400</v>
      </c>
      <c r="K453" s="47"/>
      <c r="L453" s="47"/>
      <c r="M453" s="47"/>
      <c r="N453" s="47">
        <f t="shared" si="323"/>
        <v>0</v>
      </c>
      <c r="O453" s="47">
        <f t="shared" si="346"/>
        <v>50816400</v>
      </c>
      <c r="P453" s="47">
        <f t="shared" si="347"/>
        <v>0</v>
      </c>
      <c r="Q453" s="47">
        <f t="shared" si="348"/>
        <v>0</v>
      </c>
      <c r="R453" s="47">
        <f t="shared" si="349"/>
        <v>50816400</v>
      </c>
      <c r="S453" s="79">
        <f t="shared" si="318"/>
        <v>34.104966442953021</v>
      </c>
      <c r="T453" s="79">
        <v>0</v>
      </c>
      <c r="U453" s="79">
        <v>0</v>
      </c>
      <c r="V453" s="79">
        <f t="shared" si="319"/>
        <v>34.104966442953021</v>
      </c>
      <c r="W453" s="47">
        <f t="shared" si="314"/>
        <v>98183600</v>
      </c>
      <c r="X453" s="247">
        <f t="shared" si="328"/>
        <v>50816400</v>
      </c>
      <c r="Y453" s="247">
        <f t="shared" si="326"/>
        <v>0</v>
      </c>
      <c r="Z453" s="247">
        <f t="shared" si="327"/>
        <v>0</v>
      </c>
      <c r="AA453" s="93"/>
    </row>
    <row r="454" spans="1:27" s="8" customFormat="1">
      <c r="A454" s="96" t="s">
        <v>213</v>
      </c>
      <c r="B454" s="96" t="s">
        <v>214</v>
      </c>
      <c r="C454" s="100">
        <f>SUM(C455:C457)</f>
        <v>39910000</v>
      </c>
      <c r="D454" s="100">
        <f>SUM(D455:D457)</f>
        <v>0</v>
      </c>
      <c r="E454" s="100">
        <f>SUM(E455:E457)</f>
        <v>0</v>
      </c>
      <c r="F454" s="100">
        <f t="shared" si="329"/>
        <v>39910000</v>
      </c>
      <c r="G454" s="100">
        <f t="shared" ref="G454:H454" si="360">SUM(G455:G457)</f>
        <v>20735150</v>
      </c>
      <c r="H454" s="100">
        <f t="shared" si="360"/>
        <v>0</v>
      </c>
      <c r="I454" s="100">
        <f>SUM(I455:I457)</f>
        <v>0</v>
      </c>
      <c r="J454" s="100">
        <f t="shared" si="316"/>
        <v>20735150</v>
      </c>
      <c r="K454" s="100">
        <f t="shared" ref="K454:L454" si="361">SUM(K455:K457)</f>
        <v>0</v>
      </c>
      <c r="L454" s="100">
        <f t="shared" si="361"/>
        <v>0</v>
      </c>
      <c r="M454" s="100">
        <f>SUM(M455:M457)</f>
        <v>0</v>
      </c>
      <c r="N454" s="100">
        <f t="shared" si="323"/>
        <v>0</v>
      </c>
      <c r="O454" s="100">
        <f t="shared" si="346"/>
        <v>20735150</v>
      </c>
      <c r="P454" s="100">
        <f t="shared" si="347"/>
        <v>0</v>
      </c>
      <c r="Q454" s="100">
        <f t="shared" si="348"/>
        <v>0</v>
      </c>
      <c r="R454" s="100">
        <f t="shared" si="349"/>
        <v>20735150</v>
      </c>
      <c r="S454" s="103">
        <f t="shared" si="318"/>
        <v>51.954773239789532</v>
      </c>
      <c r="T454" s="103">
        <v>0</v>
      </c>
      <c r="U454" s="103">
        <v>0</v>
      </c>
      <c r="V454" s="103">
        <f t="shared" si="319"/>
        <v>51.954773239789532</v>
      </c>
      <c r="W454" s="100">
        <f t="shared" si="314"/>
        <v>19174850</v>
      </c>
      <c r="X454" s="247">
        <f t="shared" si="328"/>
        <v>20735150</v>
      </c>
      <c r="Y454" s="247">
        <f t="shared" si="326"/>
        <v>0</v>
      </c>
      <c r="Z454" s="247">
        <f t="shared" si="327"/>
        <v>0</v>
      </c>
      <c r="AA454" s="93"/>
    </row>
    <row r="455" spans="1:27" ht="33">
      <c r="A455" s="97" t="s">
        <v>217</v>
      </c>
      <c r="B455" s="97" t="s">
        <v>218</v>
      </c>
      <c r="C455" s="98">
        <v>12200000</v>
      </c>
      <c r="D455" s="46">
        <v>0</v>
      </c>
      <c r="E455" s="46">
        <v>0</v>
      </c>
      <c r="F455" s="46">
        <f t="shared" si="329"/>
        <v>12200000</v>
      </c>
      <c r="G455" s="47">
        <v>5908150</v>
      </c>
      <c r="H455" s="47"/>
      <c r="I455" s="47"/>
      <c r="J455" s="47">
        <f t="shared" si="316"/>
        <v>5908150</v>
      </c>
      <c r="K455" s="47"/>
      <c r="L455" s="47"/>
      <c r="M455" s="47"/>
      <c r="N455" s="47">
        <f t="shared" si="323"/>
        <v>0</v>
      </c>
      <c r="O455" s="47">
        <f t="shared" si="346"/>
        <v>5908150</v>
      </c>
      <c r="P455" s="47">
        <f t="shared" si="347"/>
        <v>0</v>
      </c>
      <c r="Q455" s="47">
        <f t="shared" si="348"/>
        <v>0</v>
      </c>
      <c r="R455" s="47">
        <f t="shared" si="349"/>
        <v>5908150</v>
      </c>
      <c r="S455" s="79">
        <f t="shared" si="318"/>
        <v>48.427459016393442</v>
      </c>
      <c r="T455" s="79">
        <v>0</v>
      </c>
      <c r="U455" s="79">
        <v>0</v>
      </c>
      <c r="V455" s="79">
        <f t="shared" si="319"/>
        <v>48.427459016393442</v>
      </c>
      <c r="W455" s="47">
        <f t="shared" si="314"/>
        <v>6291850</v>
      </c>
      <c r="X455" s="247">
        <f t="shared" si="328"/>
        <v>5908150</v>
      </c>
      <c r="Y455" s="247">
        <f t="shared" si="326"/>
        <v>0</v>
      </c>
      <c r="Z455" s="247">
        <f t="shared" si="327"/>
        <v>0</v>
      </c>
      <c r="AA455" s="93"/>
    </row>
    <row r="456" spans="1:27">
      <c r="A456" s="97" t="s">
        <v>219</v>
      </c>
      <c r="B456" s="97" t="s">
        <v>220</v>
      </c>
      <c r="C456" s="98">
        <v>14600000</v>
      </c>
      <c r="D456" s="46">
        <v>0</v>
      </c>
      <c r="E456" s="46">
        <v>0</v>
      </c>
      <c r="F456" s="46">
        <f t="shared" si="329"/>
        <v>14600000</v>
      </c>
      <c r="G456" s="47">
        <v>8389000</v>
      </c>
      <c r="H456" s="47">
        <v>0</v>
      </c>
      <c r="I456" s="47">
        <v>0</v>
      </c>
      <c r="J456" s="47">
        <f t="shared" si="316"/>
        <v>8389000</v>
      </c>
      <c r="K456" s="47"/>
      <c r="L456" s="47"/>
      <c r="M456" s="47"/>
      <c r="N456" s="47">
        <f t="shared" si="323"/>
        <v>0</v>
      </c>
      <c r="O456" s="47">
        <f t="shared" si="346"/>
        <v>8389000</v>
      </c>
      <c r="P456" s="47">
        <f t="shared" si="347"/>
        <v>0</v>
      </c>
      <c r="Q456" s="47">
        <f t="shared" si="348"/>
        <v>0</v>
      </c>
      <c r="R456" s="47">
        <f t="shared" si="349"/>
        <v>8389000</v>
      </c>
      <c r="S456" s="79">
        <f t="shared" si="318"/>
        <v>57.458904109589035</v>
      </c>
      <c r="T456" s="79">
        <v>0</v>
      </c>
      <c r="U456" s="79">
        <v>0</v>
      </c>
      <c r="V456" s="79">
        <f t="shared" si="319"/>
        <v>57.458904109589035</v>
      </c>
      <c r="W456" s="47">
        <f t="shared" si="314"/>
        <v>6211000</v>
      </c>
      <c r="X456" s="247">
        <f t="shared" si="328"/>
        <v>8389000</v>
      </c>
      <c r="Y456" s="247">
        <f t="shared" si="326"/>
        <v>0</v>
      </c>
      <c r="Z456" s="247">
        <f t="shared" si="327"/>
        <v>0</v>
      </c>
      <c r="AA456" s="93"/>
    </row>
    <row r="457" spans="1:27">
      <c r="A457" s="97" t="s">
        <v>221</v>
      </c>
      <c r="B457" s="97" t="s">
        <v>222</v>
      </c>
      <c r="C457" s="98">
        <v>13110000</v>
      </c>
      <c r="D457" s="46">
        <v>0</v>
      </c>
      <c r="E457" s="46">
        <v>0</v>
      </c>
      <c r="F457" s="46">
        <f t="shared" si="329"/>
        <v>13110000</v>
      </c>
      <c r="G457" s="47">
        <v>6438000</v>
      </c>
      <c r="H457" s="47"/>
      <c r="I457" s="47"/>
      <c r="J457" s="47">
        <f t="shared" si="316"/>
        <v>6438000</v>
      </c>
      <c r="K457" s="47"/>
      <c r="L457" s="47"/>
      <c r="M457" s="47"/>
      <c r="N457" s="47">
        <f t="shared" si="323"/>
        <v>0</v>
      </c>
      <c r="O457" s="47">
        <f t="shared" si="346"/>
        <v>6438000</v>
      </c>
      <c r="P457" s="47">
        <f t="shared" si="347"/>
        <v>0</v>
      </c>
      <c r="Q457" s="47">
        <f t="shared" si="348"/>
        <v>0</v>
      </c>
      <c r="R457" s="47">
        <f t="shared" si="349"/>
        <v>6438000</v>
      </c>
      <c r="S457" s="79">
        <f t="shared" si="318"/>
        <v>49.107551487414185</v>
      </c>
      <c r="T457" s="79">
        <v>0</v>
      </c>
      <c r="U457" s="79">
        <v>0</v>
      </c>
      <c r="V457" s="79">
        <f t="shared" si="319"/>
        <v>49.107551487414185</v>
      </c>
      <c r="W457" s="47">
        <f t="shared" si="314"/>
        <v>6672000</v>
      </c>
      <c r="X457" s="247">
        <f t="shared" si="328"/>
        <v>6438000</v>
      </c>
      <c r="Y457" s="247">
        <f t="shared" si="326"/>
        <v>0</v>
      </c>
      <c r="Z457" s="247">
        <f t="shared" si="327"/>
        <v>0</v>
      </c>
      <c r="AA457" s="93"/>
    </row>
    <row r="458" spans="1:27" s="11" customFormat="1" ht="18">
      <c r="A458" s="35" t="s">
        <v>232</v>
      </c>
      <c r="B458" s="111" t="s">
        <v>233</v>
      </c>
      <c r="C458" s="117">
        <f>C459</f>
        <v>1162309040</v>
      </c>
      <c r="D458" s="117">
        <f>D459</f>
        <v>0</v>
      </c>
      <c r="E458" s="117">
        <f>E459</f>
        <v>0</v>
      </c>
      <c r="F458" s="117">
        <f t="shared" si="329"/>
        <v>1162309040</v>
      </c>
      <c r="G458" s="117">
        <f t="shared" ref="G458:I458" si="362">G459</f>
        <v>668992030</v>
      </c>
      <c r="H458" s="117">
        <f t="shared" si="362"/>
        <v>0</v>
      </c>
      <c r="I458" s="117">
        <f t="shared" si="362"/>
        <v>0</v>
      </c>
      <c r="J458" s="117">
        <f t="shared" si="316"/>
        <v>668992030</v>
      </c>
      <c r="K458" s="117">
        <f t="shared" ref="K458:M458" si="363">K459</f>
        <v>0</v>
      </c>
      <c r="L458" s="117">
        <f t="shared" si="363"/>
        <v>0</v>
      </c>
      <c r="M458" s="117">
        <f t="shared" si="363"/>
        <v>0</v>
      </c>
      <c r="N458" s="117">
        <f t="shared" si="323"/>
        <v>0</v>
      </c>
      <c r="O458" s="117">
        <f t="shared" si="346"/>
        <v>668992030</v>
      </c>
      <c r="P458" s="117">
        <f t="shared" si="347"/>
        <v>0</v>
      </c>
      <c r="Q458" s="117">
        <f t="shared" si="348"/>
        <v>0</v>
      </c>
      <c r="R458" s="117">
        <f t="shared" si="349"/>
        <v>668992030</v>
      </c>
      <c r="S458" s="128">
        <f t="shared" si="318"/>
        <v>57.557156227572662</v>
      </c>
      <c r="T458" s="128">
        <v>0</v>
      </c>
      <c r="U458" s="128">
        <v>0</v>
      </c>
      <c r="V458" s="128">
        <f t="shared" si="319"/>
        <v>57.557156227572662</v>
      </c>
      <c r="W458" s="117">
        <f t="shared" si="314"/>
        <v>493317010</v>
      </c>
      <c r="X458" s="247">
        <f t="shared" si="328"/>
        <v>668992030</v>
      </c>
      <c r="Y458" s="247">
        <f t="shared" si="326"/>
        <v>0</v>
      </c>
      <c r="Z458" s="247">
        <f t="shared" si="327"/>
        <v>0</v>
      </c>
      <c r="AA458" s="93"/>
    </row>
    <row r="459" spans="1:27" s="12" customFormat="1" ht="22.5" customHeight="1">
      <c r="A459" s="38" t="s">
        <v>309</v>
      </c>
      <c r="B459" s="39" t="s">
        <v>310</v>
      </c>
      <c r="C459" s="118">
        <f>C460+C471</f>
        <v>1162309040</v>
      </c>
      <c r="D459" s="118">
        <f>D460+D471</f>
        <v>0</v>
      </c>
      <c r="E459" s="118">
        <f>E460+E471</f>
        <v>0</v>
      </c>
      <c r="F459" s="118">
        <f t="shared" si="329"/>
        <v>1162309040</v>
      </c>
      <c r="G459" s="118">
        <f t="shared" ref="G459:I459" si="364">G460+G471</f>
        <v>668992030</v>
      </c>
      <c r="H459" s="118">
        <f t="shared" si="364"/>
        <v>0</v>
      </c>
      <c r="I459" s="118">
        <f t="shared" si="364"/>
        <v>0</v>
      </c>
      <c r="J459" s="118">
        <f t="shared" si="316"/>
        <v>668992030</v>
      </c>
      <c r="K459" s="118">
        <f t="shared" ref="K459:M459" si="365">K460+K471</f>
        <v>0</v>
      </c>
      <c r="L459" s="118">
        <f t="shared" si="365"/>
        <v>0</v>
      </c>
      <c r="M459" s="118">
        <f t="shared" si="365"/>
        <v>0</v>
      </c>
      <c r="N459" s="118">
        <f t="shared" si="323"/>
        <v>0</v>
      </c>
      <c r="O459" s="118">
        <f t="shared" si="346"/>
        <v>668992030</v>
      </c>
      <c r="P459" s="118">
        <f t="shared" si="347"/>
        <v>0</v>
      </c>
      <c r="Q459" s="118">
        <f t="shared" si="348"/>
        <v>0</v>
      </c>
      <c r="R459" s="118">
        <f t="shared" si="349"/>
        <v>668992030</v>
      </c>
      <c r="S459" s="129">
        <f t="shared" si="318"/>
        <v>57.557156227572662</v>
      </c>
      <c r="T459" s="129">
        <v>0</v>
      </c>
      <c r="U459" s="129">
        <v>0</v>
      </c>
      <c r="V459" s="129">
        <f t="shared" si="319"/>
        <v>57.557156227572662</v>
      </c>
      <c r="W459" s="118">
        <f t="shared" si="314"/>
        <v>493317010</v>
      </c>
      <c r="X459" s="247">
        <f t="shared" si="328"/>
        <v>668992030</v>
      </c>
      <c r="Y459" s="247">
        <f t="shared" si="326"/>
        <v>0</v>
      </c>
      <c r="Z459" s="247">
        <f t="shared" si="327"/>
        <v>0</v>
      </c>
      <c r="AA459" s="93"/>
    </row>
    <row r="460" spans="1:27" s="5" customFormat="1">
      <c r="A460" s="59" t="s">
        <v>311</v>
      </c>
      <c r="B460" s="59" t="s">
        <v>312</v>
      </c>
      <c r="C460" s="110">
        <f>SUM(C461:C470)</f>
        <v>663989040</v>
      </c>
      <c r="D460" s="110">
        <f>SUM(D461:D470)</f>
        <v>0</v>
      </c>
      <c r="E460" s="110">
        <f>SUM(E461:E470)</f>
        <v>0</v>
      </c>
      <c r="F460" s="110">
        <f t="shared" si="329"/>
        <v>663989040</v>
      </c>
      <c r="G460" s="110">
        <f t="shared" ref="G460:I460" si="366">SUM(G461:G470)</f>
        <v>350895854</v>
      </c>
      <c r="H460" s="110">
        <f t="shared" si="366"/>
        <v>0</v>
      </c>
      <c r="I460" s="110">
        <f t="shared" si="366"/>
        <v>0</v>
      </c>
      <c r="J460" s="110">
        <f t="shared" si="316"/>
        <v>350895854</v>
      </c>
      <c r="K460" s="110">
        <f t="shared" ref="K460:M460" si="367">SUM(K461:K470)</f>
        <v>0</v>
      </c>
      <c r="L460" s="110">
        <f t="shared" si="367"/>
        <v>0</v>
      </c>
      <c r="M460" s="110">
        <f t="shared" si="367"/>
        <v>0</v>
      </c>
      <c r="N460" s="110">
        <f t="shared" si="323"/>
        <v>0</v>
      </c>
      <c r="O460" s="110">
        <f t="shared" si="346"/>
        <v>350895854</v>
      </c>
      <c r="P460" s="110">
        <f t="shared" si="347"/>
        <v>0</v>
      </c>
      <c r="Q460" s="110">
        <f t="shared" si="348"/>
        <v>0</v>
      </c>
      <c r="R460" s="110">
        <f t="shared" si="349"/>
        <v>350895854</v>
      </c>
      <c r="S460" s="114">
        <f t="shared" si="318"/>
        <v>52.846633432383157</v>
      </c>
      <c r="T460" s="114">
        <v>0</v>
      </c>
      <c r="U460" s="114">
        <v>0</v>
      </c>
      <c r="V460" s="114">
        <f t="shared" si="319"/>
        <v>52.846633432383157</v>
      </c>
      <c r="W460" s="110">
        <f t="shared" si="314"/>
        <v>313093186</v>
      </c>
      <c r="X460" s="247">
        <f t="shared" si="328"/>
        <v>350895854</v>
      </c>
      <c r="Y460" s="247">
        <f t="shared" si="326"/>
        <v>0</v>
      </c>
      <c r="Z460" s="247">
        <f t="shared" si="327"/>
        <v>0</v>
      </c>
      <c r="AA460" s="93"/>
    </row>
    <row r="461" spans="1:27">
      <c r="A461" s="44" t="s">
        <v>313</v>
      </c>
      <c r="B461" s="45" t="s">
        <v>314</v>
      </c>
      <c r="C461" s="98">
        <v>7020000</v>
      </c>
      <c r="D461" s="46">
        <v>0</v>
      </c>
      <c r="E461" s="46">
        <v>0</v>
      </c>
      <c r="F461" s="46">
        <f t="shared" si="329"/>
        <v>7020000</v>
      </c>
      <c r="G461" s="48">
        <v>7009650</v>
      </c>
      <c r="H461" s="47">
        <v>0</v>
      </c>
      <c r="I461" s="47">
        <v>0</v>
      </c>
      <c r="J461" s="47">
        <f t="shared" si="316"/>
        <v>7009650</v>
      </c>
      <c r="K461" s="47"/>
      <c r="L461" s="47"/>
      <c r="M461" s="47"/>
      <c r="N461" s="47">
        <f t="shared" si="323"/>
        <v>0</v>
      </c>
      <c r="O461" s="47">
        <f t="shared" si="346"/>
        <v>7009650</v>
      </c>
      <c r="P461" s="47">
        <f t="shared" si="347"/>
        <v>0</v>
      </c>
      <c r="Q461" s="47">
        <f t="shared" si="348"/>
        <v>0</v>
      </c>
      <c r="R461" s="47">
        <f t="shared" si="349"/>
        <v>7009650</v>
      </c>
      <c r="S461" s="79">
        <f t="shared" si="318"/>
        <v>99.852564102564102</v>
      </c>
      <c r="T461" s="79">
        <v>0</v>
      </c>
      <c r="U461" s="79">
        <v>0</v>
      </c>
      <c r="V461" s="79">
        <f t="shared" si="319"/>
        <v>99.852564102564102</v>
      </c>
      <c r="W461" s="47">
        <f t="shared" si="314"/>
        <v>10350</v>
      </c>
      <c r="X461" s="247">
        <f t="shared" si="328"/>
        <v>7009650</v>
      </c>
      <c r="Y461" s="247">
        <f t="shared" si="326"/>
        <v>0</v>
      </c>
      <c r="Z461" s="247">
        <f t="shared" si="327"/>
        <v>0</v>
      </c>
      <c r="AA461" s="93"/>
    </row>
    <row r="462" spans="1:27">
      <c r="A462" s="44" t="s">
        <v>110</v>
      </c>
      <c r="B462" s="45" t="s">
        <v>533</v>
      </c>
      <c r="C462" s="98">
        <v>220</v>
      </c>
      <c r="D462" s="46">
        <v>0</v>
      </c>
      <c r="E462" s="46">
        <v>0</v>
      </c>
      <c r="F462" s="46">
        <f t="shared" si="329"/>
        <v>220</v>
      </c>
      <c r="G462" s="48">
        <v>0</v>
      </c>
      <c r="H462" s="47">
        <v>0</v>
      </c>
      <c r="I462" s="47">
        <v>0</v>
      </c>
      <c r="J462" s="47">
        <f t="shared" si="316"/>
        <v>0</v>
      </c>
      <c r="K462" s="47"/>
      <c r="L462" s="47">
        <v>0</v>
      </c>
      <c r="M462" s="47">
        <v>0</v>
      </c>
      <c r="N462" s="47">
        <f t="shared" ref="N462" si="368">SUM(K462:M462)</f>
        <v>0</v>
      </c>
      <c r="O462" s="47">
        <f t="shared" ref="O462" si="369">K462+G462</f>
        <v>0</v>
      </c>
      <c r="P462" s="47">
        <f t="shared" ref="P462" si="370">L462+H462</f>
        <v>0</v>
      </c>
      <c r="Q462" s="47">
        <f t="shared" ref="Q462" si="371">M462+I462</f>
        <v>0</v>
      </c>
      <c r="R462" s="47">
        <f t="shared" ref="R462" si="372">SUM(O462:Q462)</f>
        <v>0</v>
      </c>
      <c r="S462" s="79">
        <f t="shared" ref="S462" si="373">O462/C462*100</f>
        <v>0</v>
      </c>
      <c r="T462" s="79">
        <v>0</v>
      </c>
      <c r="U462" s="79">
        <v>0</v>
      </c>
      <c r="V462" s="79">
        <f t="shared" ref="V462" si="374">R462/F462*100</f>
        <v>0</v>
      </c>
      <c r="W462" s="47">
        <f t="shared" ref="W462" si="375">F462-R462</f>
        <v>220</v>
      </c>
      <c r="X462" s="247"/>
      <c r="Y462" s="247"/>
      <c r="Z462" s="247"/>
      <c r="AA462" s="93"/>
    </row>
    <row r="463" spans="1:27">
      <c r="A463" s="44" t="s">
        <v>128</v>
      </c>
      <c r="B463" s="45" t="s">
        <v>113</v>
      </c>
      <c r="C463" s="98">
        <f>24801540+524780</f>
        <v>25326320</v>
      </c>
      <c r="D463" s="46">
        <v>0</v>
      </c>
      <c r="E463" s="46">
        <v>0</v>
      </c>
      <c r="F463" s="46">
        <f t="shared" si="329"/>
        <v>25326320</v>
      </c>
      <c r="G463" s="48">
        <v>19670680</v>
      </c>
      <c r="H463" s="47">
        <v>0</v>
      </c>
      <c r="I463" s="47">
        <v>0</v>
      </c>
      <c r="J463" s="47">
        <f t="shared" si="316"/>
        <v>19670680</v>
      </c>
      <c r="K463" s="47"/>
      <c r="L463" s="47"/>
      <c r="M463" s="47"/>
      <c r="N463" s="47">
        <f t="shared" si="323"/>
        <v>0</v>
      </c>
      <c r="O463" s="47">
        <f t="shared" si="346"/>
        <v>19670680</v>
      </c>
      <c r="P463" s="47">
        <f t="shared" si="347"/>
        <v>0</v>
      </c>
      <c r="Q463" s="47">
        <f t="shared" si="348"/>
        <v>0</v>
      </c>
      <c r="R463" s="47">
        <f t="shared" si="349"/>
        <v>19670680</v>
      </c>
      <c r="S463" s="79">
        <f t="shared" si="318"/>
        <v>77.668923080810799</v>
      </c>
      <c r="T463" s="79">
        <v>0</v>
      </c>
      <c r="U463" s="79">
        <v>0</v>
      </c>
      <c r="V463" s="79">
        <f t="shared" si="319"/>
        <v>77.668923080810799</v>
      </c>
      <c r="W463" s="47">
        <f t="shared" si="314"/>
        <v>5655640</v>
      </c>
      <c r="X463" s="247">
        <f t="shared" si="328"/>
        <v>19670680</v>
      </c>
      <c r="Y463" s="247">
        <f t="shared" si="326"/>
        <v>0</v>
      </c>
      <c r="Z463" s="247">
        <f t="shared" si="327"/>
        <v>0</v>
      </c>
      <c r="AA463" s="93"/>
    </row>
    <row r="464" spans="1:27" ht="18" customHeight="1">
      <c r="A464" s="44" t="s">
        <v>231</v>
      </c>
      <c r="B464" s="45" t="s">
        <v>119</v>
      </c>
      <c r="C464" s="98">
        <v>27000000</v>
      </c>
      <c r="D464" s="46">
        <v>0</v>
      </c>
      <c r="E464" s="46">
        <v>0</v>
      </c>
      <c r="F464" s="46">
        <f t="shared" si="329"/>
        <v>27000000</v>
      </c>
      <c r="G464" s="48">
        <v>22494150</v>
      </c>
      <c r="H464" s="47">
        <v>0</v>
      </c>
      <c r="I464" s="47">
        <v>0</v>
      </c>
      <c r="J464" s="47">
        <f t="shared" si="316"/>
        <v>22494150</v>
      </c>
      <c r="K464" s="47"/>
      <c r="L464" s="47"/>
      <c r="M464" s="47"/>
      <c r="N464" s="47">
        <f t="shared" si="323"/>
        <v>0</v>
      </c>
      <c r="O464" s="47">
        <f t="shared" si="346"/>
        <v>22494150</v>
      </c>
      <c r="P464" s="47">
        <f t="shared" si="347"/>
        <v>0</v>
      </c>
      <c r="Q464" s="47">
        <f t="shared" si="348"/>
        <v>0</v>
      </c>
      <c r="R464" s="47">
        <f t="shared" si="349"/>
        <v>22494150</v>
      </c>
      <c r="S464" s="79">
        <f t="shared" si="318"/>
        <v>83.311666666666667</v>
      </c>
      <c r="T464" s="79">
        <v>0</v>
      </c>
      <c r="U464" s="79">
        <v>0</v>
      </c>
      <c r="V464" s="79">
        <f t="shared" si="319"/>
        <v>83.311666666666667</v>
      </c>
      <c r="W464" s="47">
        <f t="shared" si="314"/>
        <v>4505850</v>
      </c>
      <c r="X464" s="247">
        <f t="shared" si="328"/>
        <v>22494150</v>
      </c>
      <c r="Y464" s="247">
        <f t="shared" si="326"/>
        <v>0</v>
      </c>
      <c r="Z464" s="247">
        <f t="shared" si="327"/>
        <v>0</v>
      </c>
      <c r="AA464" s="93"/>
    </row>
    <row r="465" spans="1:27">
      <c r="A465" s="44" t="s">
        <v>124</v>
      </c>
      <c r="B465" s="45" t="s">
        <v>125</v>
      </c>
      <c r="C465" s="98">
        <v>55050000</v>
      </c>
      <c r="D465" s="46">
        <v>0</v>
      </c>
      <c r="E465" s="46">
        <v>0</v>
      </c>
      <c r="F465" s="46">
        <f t="shared" si="329"/>
        <v>55050000</v>
      </c>
      <c r="G465" s="48">
        <v>9964800</v>
      </c>
      <c r="H465" s="47">
        <v>0</v>
      </c>
      <c r="I465" s="47">
        <v>0</v>
      </c>
      <c r="J465" s="47">
        <f t="shared" si="316"/>
        <v>9964800</v>
      </c>
      <c r="K465" s="47"/>
      <c r="L465" s="47"/>
      <c r="M465" s="47"/>
      <c r="N465" s="47">
        <f t="shared" si="323"/>
        <v>0</v>
      </c>
      <c r="O465" s="47">
        <f t="shared" si="346"/>
        <v>9964800</v>
      </c>
      <c r="P465" s="47">
        <f t="shared" si="347"/>
        <v>0</v>
      </c>
      <c r="Q465" s="47">
        <f t="shared" si="348"/>
        <v>0</v>
      </c>
      <c r="R465" s="47">
        <f t="shared" si="349"/>
        <v>9964800</v>
      </c>
      <c r="S465" s="79">
        <f t="shared" si="318"/>
        <v>18.101362397820164</v>
      </c>
      <c r="T465" s="79">
        <v>0</v>
      </c>
      <c r="U465" s="79">
        <v>0</v>
      </c>
      <c r="V465" s="79">
        <f t="shared" si="319"/>
        <v>18.101362397820164</v>
      </c>
      <c r="W465" s="47">
        <f t="shared" si="314"/>
        <v>45085200</v>
      </c>
      <c r="X465" s="247">
        <f t="shared" si="328"/>
        <v>9964800</v>
      </c>
      <c r="Y465" s="247">
        <f t="shared" si="326"/>
        <v>0</v>
      </c>
      <c r="Z465" s="247">
        <f t="shared" si="327"/>
        <v>0</v>
      </c>
      <c r="AA465" s="93"/>
    </row>
    <row r="466" spans="1:27">
      <c r="A466" s="44" t="s">
        <v>137</v>
      </c>
      <c r="B466" s="45" t="s">
        <v>138</v>
      </c>
      <c r="C466" s="98">
        <v>21600000</v>
      </c>
      <c r="D466" s="46">
        <v>0</v>
      </c>
      <c r="E466" s="46">
        <v>0</v>
      </c>
      <c r="F466" s="46">
        <f t="shared" si="329"/>
        <v>21600000</v>
      </c>
      <c r="G466" s="48">
        <v>0</v>
      </c>
      <c r="H466" s="47">
        <v>0</v>
      </c>
      <c r="I466" s="47">
        <v>0</v>
      </c>
      <c r="J466" s="47">
        <f t="shared" si="316"/>
        <v>0</v>
      </c>
      <c r="K466" s="47"/>
      <c r="L466" s="47"/>
      <c r="M466" s="47"/>
      <c r="N466" s="47">
        <f t="shared" si="323"/>
        <v>0</v>
      </c>
      <c r="O466" s="47">
        <f t="shared" si="346"/>
        <v>0</v>
      </c>
      <c r="P466" s="47">
        <f t="shared" si="347"/>
        <v>0</v>
      </c>
      <c r="Q466" s="47">
        <f t="shared" si="348"/>
        <v>0</v>
      </c>
      <c r="R466" s="47">
        <f t="shared" si="349"/>
        <v>0</v>
      </c>
      <c r="S466" s="79">
        <f t="shared" si="318"/>
        <v>0</v>
      </c>
      <c r="T466" s="79">
        <v>0</v>
      </c>
      <c r="U466" s="79">
        <v>0</v>
      </c>
      <c r="V466" s="79">
        <f t="shared" si="319"/>
        <v>0</v>
      </c>
      <c r="W466" s="47">
        <f t="shared" si="314"/>
        <v>21600000</v>
      </c>
      <c r="X466" s="247">
        <f t="shared" si="328"/>
        <v>0</v>
      </c>
      <c r="Y466" s="247">
        <f t="shared" si="326"/>
        <v>0</v>
      </c>
      <c r="Z466" s="247">
        <f t="shared" si="327"/>
        <v>0</v>
      </c>
      <c r="AA466" s="93"/>
    </row>
    <row r="467" spans="1:27">
      <c r="A467" s="44" t="s">
        <v>187</v>
      </c>
      <c r="B467" s="45" t="s">
        <v>188</v>
      </c>
      <c r="C467" s="98">
        <v>49117500</v>
      </c>
      <c r="D467" s="46">
        <v>0</v>
      </c>
      <c r="E467" s="46">
        <v>0</v>
      </c>
      <c r="F467" s="46">
        <f t="shared" si="329"/>
        <v>49117500</v>
      </c>
      <c r="G467" s="47">
        <v>12487500</v>
      </c>
      <c r="H467" s="47">
        <v>0</v>
      </c>
      <c r="I467" s="47">
        <v>0</v>
      </c>
      <c r="J467" s="47">
        <f t="shared" si="316"/>
        <v>12487500</v>
      </c>
      <c r="K467" s="47"/>
      <c r="L467" s="47"/>
      <c r="M467" s="47"/>
      <c r="N467" s="47">
        <f t="shared" si="323"/>
        <v>0</v>
      </c>
      <c r="O467" s="47">
        <f t="shared" si="346"/>
        <v>12487500</v>
      </c>
      <c r="P467" s="47">
        <f t="shared" si="347"/>
        <v>0</v>
      </c>
      <c r="Q467" s="47">
        <f t="shared" si="348"/>
        <v>0</v>
      </c>
      <c r="R467" s="47">
        <f t="shared" si="349"/>
        <v>12487500</v>
      </c>
      <c r="S467" s="79">
        <f t="shared" si="318"/>
        <v>25.423728813559322</v>
      </c>
      <c r="T467" s="79">
        <v>0</v>
      </c>
      <c r="U467" s="79">
        <v>0</v>
      </c>
      <c r="V467" s="79">
        <f t="shared" si="319"/>
        <v>25.423728813559322</v>
      </c>
      <c r="W467" s="47">
        <f t="shared" si="314"/>
        <v>36630000</v>
      </c>
      <c r="X467" s="247">
        <f t="shared" si="328"/>
        <v>12487500</v>
      </c>
      <c r="Y467" s="247">
        <f t="shared" si="326"/>
        <v>0</v>
      </c>
      <c r="Z467" s="247">
        <f t="shared" si="327"/>
        <v>0</v>
      </c>
      <c r="AA467" s="93"/>
    </row>
    <row r="468" spans="1:27">
      <c r="A468" s="44" t="s">
        <v>479</v>
      </c>
      <c r="B468" s="45" t="s">
        <v>480</v>
      </c>
      <c r="C468" s="98">
        <v>6600000</v>
      </c>
      <c r="D468" s="46">
        <v>0</v>
      </c>
      <c r="E468" s="46">
        <v>0</v>
      </c>
      <c r="F468" s="46">
        <f t="shared" si="329"/>
        <v>6600000</v>
      </c>
      <c r="G468" s="47">
        <v>0</v>
      </c>
      <c r="H468" s="47">
        <v>0</v>
      </c>
      <c r="I468" s="47">
        <v>0</v>
      </c>
      <c r="J468" s="47">
        <f t="shared" si="316"/>
        <v>0</v>
      </c>
      <c r="K468" s="47"/>
      <c r="L468" s="47"/>
      <c r="M468" s="47"/>
      <c r="N468" s="47">
        <f t="shared" si="323"/>
        <v>0</v>
      </c>
      <c r="O468" s="47">
        <f t="shared" si="346"/>
        <v>0</v>
      </c>
      <c r="P468" s="47">
        <f t="shared" si="347"/>
        <v>0</v>
      </c>
      <c r="Q468" s="47">
        <f t="shared" si="348"/>
        <v>0</v>
      </c>
      <c r="R468" s="47">
        <f t="shared" si="349"/>
        <v>0</v>
      </c>
      <c r="S468" s="79">
        <f t="shared" si="318"/>
        <v>0</v>
      </c>
      <c r="T468" s="79">
        <v>0</v>
      </c>
      <c r="U468" s="79">
        <v>0</v>
      </c>
      <c r="V468" s="79">
        <f t="shared" si="319"/>
        <v>0</v>
      </c>
      <c r="W468" s="47">
        <f t="shared" ref="W468:W531" si="376">F468-R468</f>
        <v>6600000</v>
      </c>
      <c r="X468" s="247">
        <f t="shared" si="328"/>
        <v>0</v>
      </c>
      <c r="Y468" s="247">
        <f t="shared" si="326"/>
        <v>0</v>
      </c>
      <c r="Z468" s="247">
        <f t="shared" si="327"/>
        <v>0</v>
      </c>
      <c r="AA468" s="93"/>
    </row>
    <row r="469" spans="1:27">
      <c r="A469" s="44" t="s">
        <v>100</v>
      </c>
      <c r="B469" s="45" t="s">
        <v>101</v>
      </c>
      <c r="C469" s="98">
        <f>447600000+4200000</f>
        <v>451800000</v>
      </c>
      <c r="D469" s="46">
        <v>0</v>
      </c>
      <c r="E469" s="46">
        <v>0</v>
      </c>
      <c r="F469" s="46">
        <f t="shared" si="329"/>
        <v>451800000</v>
      </c>
      <c r="G469" s="63">
        <v>263519074</v>
      </c>
      <c r="H469" s="47">
        <v>0</v>
      </c>
      <c r="I469" s="47">
        <v>0</v>
      </c>
      <c r="J469" s="47">
        <f t="shared" ref="J469:J532" si="377">G469+H469+I469</f>
        <v>263519074</v>
      </c>
      <c r="K469" s="47"/>
      <c r="L469" s="47"/>
      <c r="M469" s="47"/>
      <c r="N469" s="47">
        <f t="shared" si="323"/>
        <v>0</v>
      </c>
      <c r="O469" s="47">
        <f t="shared" si="346"/>
        <v>263519074</v>
      </c>
      <c r="P469" s="47">
        <f t="shared" si="347"/>
        <v>0</v>
      </c>
      <c r="Q469" s="47">
        <f t="shared" si="348"/>
        <v>0</v>
      </c>
      <c r="R469" s="47">
        <f t="shared" si="349"/>
        <v>263519074</v>
      </c>
      <c r="S469" s="79">
        <f t="shared" ref="S469:S532" si="378">O469/C469*100</f>
        <v>58.326488269145635</v>
      </c>
      <c r="T469" s="79">
        <v>0</v>
      </c>
      <c r="U469" s="79">
        <v>0</v>
      </c>
      <c r="V469" s="79">
        <f t="shared" ref="V469:V532" si="379">R469/F469*100</f>
        <v>58.326488269145635</v>
      </c>
      <c r="W469" s="47">
        <f t="shared" si="376"/>
        <v>188280926</v>
      </c>
      <c r="X469" s="247">
        <f t="shared" si="328"/>
        <v>263519074</v>
      </c>
      <c r="Y469" s="247">
        <f t="shared" si="326"/>
        <v>0</v>
      </c>
      <c r="Z469" s="247">
        <f t="shared" si="327"/>
        <v>0</v>
      </c>
      <c r="AA469" s="93"/>
    </row>
    <row r="470" spans="1:27">
      <c r="A470" s="44" t="s">
        <v>252</v>
      </c>
      <c r="B470" s="45" t="s">
        <v>253</v>
      </c>
      <c r="C470" s="98">
        <f>25200000-4725000</f>
        <v>20475000</v>
      </c>
      <c r="D470" s="46">
        <v>0</v>
      </c>
      <c r="E470" s="46">
        <v>0</v>
      </c>
      <c r="F470" s="46">
        <f t="shared" si="329"/>
        <v>20475000</v>
      </c>
      <c r="G470" s="48">
        <v>15750000</v>
      </c>
      <c r="H470" s="47">
        <v>0</v>
      </c>
      <c r="I470" s="47">
        <v>0</v>
      </c>
      <c r="J470" s="47">
        <f t="shared" si="377"/>
        <v>15750000</v>
      </c>
      <c r="K470" s="47"/>
      <c r="L470" s="47"/>
      <c r="M470" s="47"/>
      <c r="N470" s="47">
        <f t="shared" ref="N470:N533" si="380">SUM(K470:M470)</f>
        <v>0</v>
      </c>
      <c r="O470" s="47">
        <f t="shared" si="346"/>
        <v>15750000</v>
      </c>
      <c r="P470" s="47">
        <f t="shared" si="347"/>
        <v>0</v>
      </c>
      <c r="Q470" s="47">
        <f t="shared" si="348"/>
        <v>0</v>
      </c>
      <c r="R470" s="47">
        <f t="shared" si="349"/>
        <v>15750000</v>
      </c>
      <c r="S470" s="79">
        <f t="shared" si="378"/>
        <v>76.923076923076934</v>
      </c>
      <c r="T470" s="79">
        <v>0</v>
      </c>
      <c r="U470" s="79">
        <v>0</v>
      </c>
      <c r="V470" s="79">
        <f t="shared" si="379"/>
        <v>76.923076923076934</v>
      </c>
      <c r="W470" s="47">
        <f t="shared" si="376"/>
        <v>4725000</v>
      </c>
      <c r="X470" s="247">
        <f t="shared" si="328"/>
        <v>15750000</v>
      </c>
      <c r="Y470" s="247">
        <f t="shared" si="326"/>
        <v>0</v>
      </c>
      <c r="Z470" s="247">
        <f t="shared" si="327"/>
        <v>0</v>
      </c>
      <c r="AA470" s="93"/>
    </row>
    <row r="471" spans="1:27" s="5" customFormat="1">
      <c r="A471" s="59" t="s">
        <v>481</v>
      </c>
      <c r="B471" s="59" t="s">
        <v>482</v>
      </c>
      <c r="C471" s="110">
        <f>SUM(C472:C479)</f>
        <v>498320000</v>
      </c>
      <c r="D471" s="110">
        <f t="shared" ref="D471" si="381">SUM(D472:D478)</f>
        <v>0</v>
      </c>
      <c r="E471" s="110">
        <f>SUM(E472:E478)</f>
        <v>0</v>
      </c>
      <c r="F471" s="110">
        <f t="shared" si="329"/>
        <v>498320000</v>
      </c>
      <c r="G471" s="110">
        <f t="shared" ref="G471:I471" si="382">SUM(G472:G479)</f>
        <v>318096176</v>
      </c>
      <c r="H471" s="110">
        <f t="shared" si="382"/>
        <v>0</v>
      </c>
      <c r="I471" s="110">
        <f t="shared" si="382"/>
        <v>0</v>
      </c>
      <c r="J471" s="110">
        <f t="shared" si="377"/>
        <v>318096176</v>
      </c>
      <c r="K471" s="110">
        <f>SUM(K472:K479)</f>
        <v>0</v>
      </c>
      <c r="L471" s="110">
        <f t="shared" ref="L471:M471" si="383">SUM(L472:L479)</f>
        <v>0</v>
      </c>
      <c r="M471" s="110">
        <f t="shared" si="383"/>
        <v>0</v>
      </c>
      <c r="N471" s="110">
        <f t="shared" si="380"/>
        <v>0</v>
      </c>
      <c r="O471" s="110">
        <f t="shared" si="346"/>
        <v>318096176</v>
      </c>
      <c r="P471" s="110">
        <f t="shared" si="347"/>
        <v>0</v>
      </c>
      <c r="Q471" s="110">
        <f t="shared" si="348"/>
        <v>0</v>
      </c>
      <c r="R471" s="110">
        <f t="shared" si="349"/>
        <v>318096176</v>
      </c>
      <c r="S471" s="114">
        <f t="shared" si="378"/>
        <v>63.833716487397652</v>
      </c>
      <c r="T471" s="114">
        <v>0</v>
      </c>
      <c r="U471" s="114">
        <v>0</v>
      </c>
      <c r="V471" s="114">
        <f t="shared" si="379"/>
        <v>63.833716487397652</v>
      </c>
      <c r="W471" s="110">
        <f t="shared" si="376"/>
        <v>180223824</v>
      </c>
      <c r="X471" s="247">
        <f t="shared" si="328"/>
        <v>318096176</v>
      </c>
      <c r="Y471" s="247">
        <f t="shared" si="326"/>
        <v>0</v>
      </c>
      <c r="Z471" s="247">
        <f t="shared" si="327"/>
        <v>0</v>
      </c>
      <c r="AA471" s="93"/>
    </row>
    <row r="472" spans="1:27">
      <c r="A472" s="44" t="s">
        <v>123</v>
      </c>
      <c r="B472" s="45" t="s">
        <v>111</v>
      </c>
      <c r="C472" s="46">
        <v>160</v>
      </c>
      <c r="D472" s="46">
        <v>0</v>
      </c>
      <c r="E472" s="46">
        <v>0</v>
      </c>
      <c r="F472" s="46">
        <f t="shared" si="329"/>
        <v>160</v>
      </c>
      <c r="G472" s="48">
        <v>0</v>
      </c>
      <c r="H472" s="47">
        <v>0</v>
      </c>
      <c r="I472" s="47">
        <v>0</v>
      </c>
      <c r="J472" s="47">
        <f t="shared" si="377"/>
        <v>0</v>
      </c>
      <c r="K472" s="47"/>
      <c r="L472" s="47"/>
      <c r="M472" s="47"/>
      <c r="N472" s="47">
        <f t="shared" si="380"/>
        <v>0</v>
      </c>
      <c r="O472" s="47">
        <f t="shared" si="346"/>
        <v>0</v>
      </c>
      <c r="P472" s="47">
        <f t="shared" si="347"/>
        <v>0</v>
      </c>
      <c r="Q472" s="47">
        <f t="shared" si="348"/>
        <v>0</v>
      </c>
      <c r="R472" s="47">
        <f t="shared" si="349"/>
        <v>0</v>
      </c>
      <c r="S472" s="79">
        <f t="shared" si="378"/>
        <v>0</v>
      </c>
      <c r="T472" s="79">
        <v>0</v>
      </c>
      <c r="U472" s="79">
        <v>0</v>
      </c>
      <c r="V472" s="79">
        <f t="shared" si="379"/>
        <v>0</v>
      </c>
      <c r="W472" s="47">
        <f t="shared" si="376"/>
        <v>160</v>
      </c>
      <c r="X472" s="247">
        <f t="shared" si="328"/>
        <v>0</v>
      </c>
      <c r="Y472" s="247">
        <f t="shared" si="326"/>
        <v>0</v>
      </c>
      <c r="Z472" s="247">
        <f t="shared" si="327"/>
        <v>0</v>
      </c>
      <c r="AA472" s="93"/>
    </row>
    <row r="473" spans="1:27">
      <c r="A473" s="44" t="s">
        <v>128</v>
      </c>
      <c r="B473" s="45" t="s">
        <v>113</v>
      </c>
      <c r="C473" s="46">
        <v>22109840</v>
      </c>
      <c r="D473" s="46">
        <v>0</v>
      </c>
      <c r="E473" s="46">
        <v>0</v>
      </c>
      <c r="F473" s="46">
        <f t="shared" si="329"/>
        <v>22109840</v>
      </c>
      <c r="G473" s="48">
        <v>10486800</v>
      </c>
      <c r="H473" s="47">
        <v>0</v>
      </c>
      <c r="I473" s="47">
        <v>0</v>
      </c>
      <c r="J473" s="47">
        <f t="shared" si="377"/>
        <v>10486800</v>
      </c>
      <c r="K473" s="47"/>
      <c r="L473" s="47"/>
      <c r="M473" s="47"/>
      <c r="N473" s="47">
        <f t="shared" si="380"/>
        <v>0</v>
      </c>
      <c r="O473" s="47">
        <f t="shared" si="346"/>
        <v>10486800</v>
      </c>
      <c r="P473" s="47">
        <f t="shared" si="347"/>
        <v>0</v>
      </c>
      <c r="Q473" s="47">
        <f t="shared" si="348"/>
        <v>0</v>
      </c>
      <c r="R473" s="47">
        <f t="shared" si="349"/>
        <v>10486800</v>
      </c>
      <c r="S473" s="79">
        <f t="shared" si="378"/>
        <v>47.430465349364809</v>
      </c>
      <c r="T473" s="79">
        <v>0</v>
      </c>
      <c r="U473" s="79">
        <v>0</v>
      </c>
      <c r="V473" s="79">
        <f t="shared" si="379"/>
        <v>47.430465349364809</v>
      </c>
      <c r="W473" s="47">
        <f t="shared" si="376"/>
        <v>11623040</v>
      </c>
      <c r="X473" s="247">
        <f t="shared" si="328"/>
        <v>10486800</v>
      </c>
      <c r="Y473" s="247">
        <f t="shared" ref="Y473:Y536" si="384">H473+L473</f>
        <v>0</v>
      </c>
      <c r="Z473" s="247">
        <f t="shared" ref="Z473:Z536" si="385">I473+M473</f>
        <v>0</v>
      </c>
      <c r="AA473" s="93"/>
    </row>
    <row r="474" spans="1:27">
      <c r="A474" s="44" t="s">
        <v>118</v>
      </c>
      <c r="B474" s="45" t="s">
        <v>375</v>
      </c>
      <c r="C474" s="46">
        <v>18750000</v>
      </c>
      <c r="D474" s="46">
        <v>0</v>
      </c>
      <c r="E474" s="46">
        <v>0</v>
      </c>
      <c r="F474" s="46">
        <f t="shared" si="329"/>
        <v>18750000</v>
      </c>
      <c r="G474" s="48">
        <v>18661875</v>
      </c>
      <c r="H474" s="47">
        <v>0</v>
      </c>
      <c r="I474" s="47">
        <v>0</v>
      </c>
      <c r="J474" s="47">
        <f t="shared" si="377"/>
        <v>18661875</v>
      </c>
      <c r="K474" s="47"/>
      <c r="L474" s="47"/>
      <c r="M474" s="47"/>
      <c r="N474" s="47">
        <f t="shared" si="380"/>
        <v>0</v>
      </c>
      <c r="O474" s="47">
        <f t="shared" si="346"/>
        <v>18661875</v>
      </c>
      <c r="P474" s="47">
        <f t="shared" si="347"/>
        <v>0</v>
      </c>
      <c r="Q474" s="47">
        <f t="shared" si="348"/>
        <v>0</v>
      </c>
      <c r="R474" s="47">
        <f t="shared" si="349"/>
        <v>18661875</v>
      </c>
      <c r="S474" s="79">
        <f t="shared" si="378"/>
        <v>99.53</v>
      </c>
      <c r="T474" s="79">
        <v>0</v>
      </c>
      <c r="U474" s="79">
        <v>0</v>
      </c>
      <c r="V474" s="79">
        <f t="shared" si="379"/>
        <v>99.53</v>
      </c>
      <c r="W474" s="47">
        <f t="shared" si="376"/>
        <v>88125</v>
      </c>
      <c r="X474" s="247">
        <f t="shared" ref="X474:X537" si="386">G474+K474</f>
        <v>18661875</v>
      </c>
      <c r="Y474" s="247">
        <f t="shared" si="384"/>
        <v>0</v>
      </c>
      <c r="Z474" s="247">
        <f t="shared" si="385"/>
        <v>0</v>
      </c>
      <c r="AA474" s="93"/>
    </row>
    <row r="475" spans="1:27">
      <c r="A475" s="44" t="s">
        <v>124</v>
      </c>
      <c r="B475" s="45" t="s">
        <v>125</v>
      </c>
      <c r="C475" s="46">
        <v>13535000</v>
      </c>
      <c r="D475" s="46">
        <v>0</v>
      </c>
      <c r="E475" s="46">
        <v>0</v>
      </c>
      <c r="F475" s="46">
        <f t="shared" si="329"/>
        <v>13535000</v>
      </c>
      <c r="G475" s="48">
        <v>11860000</v>
      </c>
      <c r="H475" s="47">
        <v>0</v>
      </c>
      <c r="I475" s="47">
        <v>0</v>
      </c>
      <c r="J475" s="47">
        <f t="shared" si="377"/>
        <v>11860000</v>
      </c>
      <c r="K475" s="47"/>
      <c r="L475" s="47"/>
      <c r="M475" s="47"/>
      <c r="N475" s="47">
        <f t="shared" si="380"/>
        <v>0</v>
      </c>
      <c r="O475" s="47">
        <f t="shared" si="346"/>
        <v>11860000</v>
      </c>
      <c r="P475" s="47">
        <f t="shared" si="347"/>
        <v>0</v>
      </c>
      <c r="Q475" s="47">
        <f t="shared" si="348"/>
        <v>0</v>
      </c>
      <c r="R475" s="47">
        <f t="shared" si="349"/>
        <v>11860000</v>
      </c>
      <c r="S475" s="79">
        <f t="shared" si="378"/>
        <v>87.624676763945331</v>
      </c>
      <c r="T475" s="79">
        <v>0</v>
      </c>
      <c r="U475" s="79">
        <v>0</v>
      </c>
      <c r="V475" s="79">
        <f t="shared" si="379"/>
        <v>87.624676763945331</v>
      </c>
      <c r="W475" s="47">
        <f t="shared" si="376"/>
        <v>1675000</v>
      </c>
      <c r="X475" s="247">
        <f t="shared" si="386"/>
        <v>11860000</v>
      </c>
      <c r="Y475" s="247">
        <f t="shared" si="384"/>
        <v>0</v>
      </c>
      <c r="Z475" s="247">
        <f t="shared" si="385"/>
        <v>0</v>
      </c>
      <c r="AA475" s="93"/>
    </row>
    <row r="476" spans="1:27">
      <c r="A476" s="44" t="s">
        <v>137</v>
      </c>
      <c r="B476" s="45" t="s">
        <v>138</v>
      </c>
      <c r="C476" s="46">
        <v>27000000</v>
      </c>
      <c r="D476" s="46">
        <v>0</v>
      </c>
      <c r="E476" s="46">
        <v>0</v>
      </c>
      <c r="F476" s="46">
        <f t="shared" ref="F476:F539" si="387">C476+D476+E476</f>
        <v>27000000</v>
      </c>
      <c r="G476" s="48">
        <v>10800000</v>
      </c>
      <c r="H476" s="47">
        <v>0</v>
      </c>
      <c r="I476" s="47">
        <v>0</v>
      </c>
      <c r="J476" s="47">
        <f t="shared" si="377"/>
        <v>10800000</v>
      </c>
      <c r="K476" s="47"/>
      <c r="L476" s="47"/>
      <c r="M476" s="47"/>
      <c r="N476" s="47">
        <f t="shared" si="380"/>
        <v>0</v>
      </c>
      <c r="O476" s="47">
        <f t="shared" si="346"/>
        <v>10800000</v>
      </c>
      <c r="P476" s="47">
        <f t="shared" si="347"/>
        <v>0</v>
      </c>
      <c r="Q476" s="47">
        <f t="shared" si="348"/>
        <v>0</v>
      </c>
      <c r="R476" s="47">
        <f t="shared" si="349"/>
        <v>10800000</v>
      </c>
      <c r="S476" s="79">
        <f t="shared" si="378"/>
        <v>40</v>
      </c>
      <c r="T476" s="79">
        <v>0</v>
      </c>
      <c r="U476" s="79">
        <v>0</v>
      </c>
      <c r="V476" s="79">
        <f t="shared" si="379"/>
        <v>40</v>
      </c>
      <c r="W476" s="47">
        <f t="shared" si="376"/>
        <v>16200000</v>
      </c>
      <c r="X476" s="247">
        <f t="shared" si="386"/>
        <v>10800000</v>
      </c>
      <c r="Y476" s="247">
        <f t="shared" si="384"/>
        <v>0</v>
      </c>
      <c r="Z476" s="247">
        <f t="shared" si="385"/>
        <v>0</v>
      </c>
      <c r="AA476" s="93"/>
    </row>
    <row r="477" spans="1:27">
      <c r="A477" s="44" t="s">
        <v>139</v>
      </c>
      <c r="B477" s="45" t="s">
        <v>140</v>
      </c>
      <c r="C477" s="46">
        <v>30000000</v>
      </c>
      <c r="D477" s="46">
        <v>0</v>
      </c>
      <c r="E477" s="46">
        <v>0</v>
      </c>
      <c r="F477" s="46">
        <f t="shared" si="387"/>
        <v>30000000</v>
      </c>
      <c r="G477" s="48">
        <v>15000000</v>
      </c>
      <c r="H477" s="47">
        <v>0</v>
      </c>
      <c r="I477" s="47">
        <v>0</v>
      </c>
      <c r="J477" s="47">
        <f t="shared" si="377"/>
        <v>15000000</v>
      </c>
      <c r="K477" s="47"/>
      <c r="L477" s="47"/>
      <c r="M477" s="47"/>
      <c r="N477" s="47">
        <f t="shared" si="380"/>
        <v>0</v>
      </c>
      <c r="O477" s="47">
        <f t="shared" si="346"/>
        <v>15000000</v>
      </c>
      <c r="P477" s="47">
        <f t="shared" si="347"/>
        <v>0</v>
      </c>
      <c r="Q477" s="47">
        <f t="shared" si="348"/>
        <v>0</v>
      </c>
      <c r="R477" s="47">
        <f t="shared" si="349"/>
        <v>15000000</v>
      </c>
      <c r="S477" s="79">
        <f t="shared" si="378"/>
        <v>50</v>
      </c>
      <c r="T477" s="79">
        <v>0</v>
      </c>
      <c r="U477" s="79">
        <v>0</v>
      </c>
      <c r="V477" s="79">
        <f t="shared" si="379"/>
        <v>50</v>
      </c>
      <c r="W477" s="47">
        <f t="shared" si="376"/>
        <v>15000000</v>
      </c>
      <c r="X477" s="247">
        <f t="shared" si="386"/>
        <v>15000000</v>
      </c>
      <c r="Y477" s="247">
        <f t="shared" si="384"/>
        <v>0</v>
      </c>
      <c r="Z477" s="247">
        <f t="shared" si="385"/>
        <v>0</v>
      </c>
      <c r="AA477" s="93"/>
    </row>
    <row r="478" spans="1:27">
      <c r="A478" s="44" t="s">
        <v>100</v>
      </c>
      <c r="B478" s="45" t="s">
        <v>101</v>
      </c>
      <c r="C478" s="46">
        <v>361200000</v>
      </c>
      <c r="D478" s="46">
        <v>0</v>
      </c>
      <c r="E478" s="46">
        <v>0</v>
      </c>
      <c r="F478" s="46">
        <f t="shared" si="387"/>
        <v>361200000</v>
      </c>
      <c r="G478" s="63">
        <v>233437501</v>
      </c>
      <c r="H478" s="47">
        <v>0</v>
      </c>
      <c r="I478" s="47">
        <v>0</v>
      </c>
      <c r="J478" s="47">
        <f t="shared" si="377"/>
        <v>233437501</v>
      </c>
      <c r="K478" s="47"/>
      <c r="L478" s="47"/>
      <c r="M478" s="47"/>
      <c r="N478" s="47">
        <f t="shared" si="380"/>
        <v>0</v>
      </c>
      <c r="O478" s="47">
        <f t="shared" si="346"/>
        <v>233437501</v>
      </c>
      <c r="P478" s="47">
        <f t="shared" si="347"/>
        <v>0</v>
      </c>
      <c r="Q478" s="47">
        <f t="shared" si="348"/>
        <v>0</v>
      </c>
      <c r="R478" s="47">
        <f t="shared" si="349"/>
        <v>233437501</v>
      </c>
      <c r="S478" s="79">
        <f t="shared" si="378"/>
        <v>64.628322535991146</v>
      </c>
      <c r="T478" s="79">
        <v>0</v>
      </c>
      <c r="U478" s="79">
        <v>0</v>
      </c>
      <c r="V478" s="79">
        <f t="shared" si="379"/>
        <v>64.628322535991146</v>
      </c>
      <c r="W478" s="47">
        <f t="shared" si="376"/>
        <v>127762499</v>
      </c>
      <c r="X478" s="247">
        <f t="shared" si="386"/>
        <v>233437501</v>
      </c>
      <c r="Y478" s="247">
        <f t="shared" si="384"/>
        <v>0</v>
      </c>
      <c r="Z478" s="247">
        <f t="shared" si="385"/>
        <v>0</v>
      </c>
      <c r="AA478" s="93"/>
    </row>
    <row r="479" spans="1:27">
      <c r="A479" s="44" t="s">
        <v>483</v>
      </c>
      <c r="B479" s="45" t="s">
        <v>484</v>
      </c>
      <c r="C479" s="46">
        <v>25725000</v>
      </c>
      <c r="D479" s="46"/>
      <c r="E479" s="46"/>
      <c r="F479" s="46">
        <f t="shared" si="387"/>
        <v>25725000</v>
      </c>
      <c r="G479" s="63">
        <v>17850000</v>
      </c>
      <c r="H479" s="47">
        <v>0</v>
      </c>
      <c r="I479" s="47">
        <v>0</v>
      </c>
      <c r="J479" s="47">
        <f t="shared" si="377"/>
        <v>17850000</v>
      </c>
      <c r="K479" s="47"/>
      <c r="L479" s="47"/>
      <c r="M479" s="47"/>
      <c r="N479" s="47">
        <f t="shared" si="380"/>
        <v>0</v>
      </c>
      <c r="O479" s="47">
        <f t="shared" si="346"/>
        <v>17850000</v>
      </c>
      <c r="P479" s="47">
        <f t="shared" si="347"/>
        <v>0</v>
      </c>
      <c r="Q479" s="47">
        <f t="shared" si="348"/>
        <v>0</v>
      </c>
      <c r="R479" s="47">
        <f t="shared" si="349"/>
        <v>17850000</v>
      </c>
      <c r="S479" s="79">
        <f t="shared" si="378"/>
        <v>69.387755102040813</v>
      </c>
      <c r="T479" s="79">
        <v>0</v>
      </c>
      <c r="U479" s="79">
        <v>0</v>
      </c>
      <c r="V479" s="79">
        <f t="shared" si="379"/>
        <v>69.387755102040813</v>
      </c>
      <c r="W479" s="47">
        <f t="shared" si="376"/>
        <v>7875000</v>
      </c>
      <c r="X479" s="247">
        <f t="shared" si="386"/>
        <v>17850000</v>
      </c>
      <c r="Y479" s="247">
        <f t="shared" si="384"/>
        <v>0</v>
      </c>
      <c r="Z479" s="247">
        <f t="shared" si="385"/>
        <v>0</v>
      </c>
      <c r="AA479" s="93"/>
    </row>
    <row r="480" spans="1:27" s="15" customFormat="1" ht="18">
      <c r="A480" s="135"/>
      <c r="B480" s="142" t="s">
        <v>24</v>
      </c>
      <c r="C480" s="136">
        <f>C481+C549</f>
        <v>5194136970</v>
      </c>
      <c r="D480" s="136">
        <f>D481+D549</f>
        <v>600112450</v>
      </c>
      <c r="E480" s="136">
        <f>E481+E549</f>
        <v>0</v>
      </c>
      <c r="F480" s="136">
        <f t="shared" si="387"/>
        <v>5794249420</v>
      </c>
      <c r="G480" s="136">
        <f t="shared" ref="G480:I480" si="388">G481+G549</f>
        <v>1911102198</v>
      </c>
      <c r="H480" s="136">
        <f t="shared" si="388"/>
        <v>357269660</v>
      </c>
      <c r="I480" s="136">
        <f t="shared" si="388"/>
        <v>0</v>
      </c>
      <c r="J480" s="136">
        <f t="shared" si="377"/>
        <v>2268371858</v>
      </c>
      <c r="K480" s="136">
        <f t="shared" ref="K480:M480" si="389">K481+K549</f>
        <v>0</v>
      </c>
      <c r="L480" s="136">
        <f t="shared" si="389"/>
        <v>0</v>
      </c>
      <c r="M480" s="136">
        <f t="shared" si="389"/>
        <v>0</v>
      </c>
      <c r="N480" s="136">
        <f t="shared" si="380"/>
        <v>0</v>
      </c>
      <c r="O480" s="136">
        <f t="shared" si="346"/>
        <v>1911102198</v>
      </c>
      <c r="P480" s="136">
        <f t="shared" si="347"/>
        <v>357269660</v>
      </c>
      <c r="Q480" s="136">
        <f t="shared" si="348"/>
        <v>0</v>
      </c>
      <c r="R480" s="136">
        <f t="shared" si="349"/>
        <v>2268371858</v>
      </c>
      <c r="S480" s="139">
        <f t="shared" si="378"/>
        <v>36.793450173494371</v>
      </c>
      <c r="T480" s="139">
        <f>P480/D480*100</f>
        <v>59.533785709661579</v>
      </c>
      <c r="U480" s="139">
        <v>0</v>
      </c>
      <c r="V480" s="139">
        <f t="shared" si="379"/>
        <v>39.148674721703642</v>
      </c>
      <c r="W480" s="136">
        <f t="shared" si="376"/>
        <v>3525877562</v>
      </c>
      <c r="X480" s="247">
        <f t="shared" si="386"/>
        <v>1911102198</v>
      </c>
      <c r="Y480" s="247">
        <f t="shared" si="384"/>
        <v>357269660</v>
      </c>
      <c r="Z480" s="247">
        <f t="shared" si="385"/>
        <v>0</v>
      </c>
      <c r="AA480" s="93"/>
    </row>
    <row r="481" spans="1:27" s="16" customFormat="1" ht="18">
      <c r="A481" s="35" t="s">
        <v>35</v>
      </c>
      <c r="B481" s="125" t="s">
        <v>36</v>
      </c>
      <c r="C481" s="143">
        <f>C482+C489+C493+C513+C524+C537+C486</f>
        <v>4581266120</v>
      </c>
      <c r="D481" s="143">
        <f>D482+D489+D493+D513+D524+D537</f>
        <v>0</v>
      </c>
      <c r="E481" s="143">
        <f>E482+E489+E493+E513+E524+E537</f>
        <v>0</v>
      </c>
      <c r="F481" s="143">
        <f t="shared" si="387"/>
        <v>4581266120</v>
      </c>
      <c r="G481" s="143">
        <f t="shared" ref="G481:I481" si="390">G482+G489+G493+G513+G524+G537</f>
        <v>1477830318</v>
      </c>
      <c r="H481" s="143">
        <f t="shared" si="390"/>
        <v>0</v>
      </c>
      <c r="I481" s="143">
        <f t="shared" si="390"/>
        <v>0</v>
      </c>
      <c r="J481" s="143">
        <f t="shared" si="377"/>
        <v>1477830318</v>
      </c>
      <c r="K481" s="143">
        <f t="shared" ref="K481:M481" si="391">K482+K489+K493+K513+K524+K537</f>
        <v>0</v>
      </c>
      <c r="L481" s="143">
        <f t="shared" si="391"/>
        <v>0</v>
      </c>
      <c r="M481" s="143">
        <f t="shared" si="391"/>
        <v>0</v>
      </c>
      <c r="N481" s="143">
        <f t="shared" si="380"/>
        <v>0</v>
      </c>
      <c r="O481" s="143">
        <f t="shared" si="346"/>
        <v>1477830318</v>
      </c>
      <c r="P481" s="143">
        <f t="shared" si="347"/>
        <v>0</v>
      </c>
      <c r="Q481" s="143">
        <f t="shared" si="348"/>
        <v>0</v>
      </c>
      <c r="R481" s="143">
        <f t="shared" si="349"/>
        <v>1477830318</v>
      </c>
      <c r="S481" s="145">
        <f t="shared" si="378"/>
        <v>32.258119901578645</v>
      </c>
      <c r="T481" s="145">
        <v>0</v>
      </c>
      <c r="U481" s="145">
        <v>0</v>
      </c>
      <c r="V481" s="145">
        <f t="shared" si="379"/>
        <v>32.258119901578645</v>
      </c>
      <c r="W481" s="143">
        <f t="shared" si="376"/>
        <v>3103435802</v>
      </c>
      <c r="X481" s="247">
        <f t="shared" si="386"/>
        <v>1477830318</v>
      </c>
      <c r="Y481" s="247">
        <f t="shared" si="384"/>
        <v>0</v>
      </c>
      <c r="Z481" s="247">
        <f t="shared" si="385"/>
        <v>0</v>
      </c>
      <c r="AA481" s="93"/>
    </row>
    <row r="482" spans="1:27" s="17" customFormat="1" ht="21" customHeight="1">
      <c r="A482" s="38" t="s">
        <v>37</v>
      </c>
      <c r="B482" s="137" t="s">
        <v>38</v>
      </c>
      <c r="C482" s="118">
        <f>C483</f>
        <v>84960000</v>
      </c>
      <c r="D482" s="118">
        <f>D483</f>
        <v>0</v>
      </c>
      <c r="E482" s="118">
        <f>E483</f>
        <v>0</v>
      </c>
      <c r="F482" s="118">
        <f t="shared" si="387"/>
        <v>84960000</v>
      </c>
      <c r="G482" s="118">
        <f t="shared" ref="G482:I482" si="392">G483</f>
        <v>33840000</v>
      </c>
      <c r="H482" s="118">
        <f t="shared" si="392"/>
        <v>0</v>
      </c>
      <c r="I482" s="118">
        <f t="shared" si="392"/>
        <v>0</v>
      </c>
      <c r="J482" s="118">
        <f t="shared" si="377"/>
        <v>33840000</v>
      </c>
      <c r="K482" s="118">
        <f t="shared" ref="K482:M482" si="393">K483</f>
        <v>0</v>
      </c>
      <c r="L482" s="118">
        <f t="shared" si="393"/>
        <v>0</v>
      </c>
      <c r="M482" s="118">
        <f t="shared" si="393"/>
        <v>0</v>
      </c>
      <c r="N482" s="118">
        <f t="shared" si="380"/>
        <v>0</v>
      </c>
      <c r="O482" s="118">
        <f t="shared" si="346"/>
        <v>33840000</v>
      </c>
      <c r="P482" s="118">
        <f t="shared" si="347"/>
        <v>0</v>
      </c>
      <c r="Q482" s="118">
        <f t="shared" si="348"/>
        <v>0</v>
      </c>
      <c r="R482" s="118">
        <f t="shared" si="349"/>
        <v>33840000</v>
      </c>
      <c r="S482" s="129">
        <f t="shared" si="378"/>
        <v>39.83050847457627</v>
      </c>
      <c r="T482" s="129">
        <v>0</v>
      </c>
      <c r="U482" s="129">
        <v>0</v>
      </c>
      <c r="V482" s="129">
        <f t="shared" si="379"/>
        <v>39.83050847457627</v>
      </c>
      <c r="W482" s="118">
        <f t="shared" si="376"/>
        <v>51120000</v>
      </c>
      <c r="X482" s="247">
        <f t="shared" si="386"/>
        <v>33840000</v>
      </c>
      <c r="Y482" s="247">
        <f t="shared" si="384"/>
        <v>0</v>
      </c>
      <c r="Z482" s="247">
        <f t="shared" si="385"/>
        <v>0</v>
      </c>
      <c r="AA482" s="93"/>
    </row>
    <row r="483" spans="1:27" s="8" customFormat="1">
      <c r="A483" s="96" t="s">
        <v>86</v>
      </c>
      <c r="B483" s="96" t="s">
        <v>87</v>
      </c>
      <c r="C483" s="138">
        <f>SUM(C484:C485)</f>
        <v>84960000</v>
      </c>
      <c r="D483" s="138">
        <f t="shared" ref="D483:E483" si="394">SUM(D484:D484)</f>
        <v>0</v>
      </c>
      <c r="E483" s="138">
        <f t="shared" si="394"/>
        <v>0</v>
      </c>
      <c r="F483" s="138">
        <f t="shared" si="387"/>
        <v>84960000</v>
      </c>
      <c r="G483" s="138">
        <f>SUM(G484:G485)</f>
        <v>33840000</v>
      </c>
      <c r="H483" s="138">
        <f t="shared" ref="H483:I483" si="395">SUM(H484:H485)</f>
        <v>0</v>
      </c>
      <c r="I483" s="138">
        <f t="shared" si="395"/>
        <v>0</v>
      </c>
      <c r="J483" s="138">
        <f t="shared" si="377"/>
        <v>33840000</v>
      </c>
      <c r="K483" s="138">
        <f>SUM(K484:K485)</f>
        <v>0</v>
      </c>
      <c r="L483" s="138">
        <f t="shared" ref="L483:M483" si="396">SUM(L484:L485)</f>
        <v>0</v>
      </c>
      <c r="M483" s="138">
        <f t="shared" si="396"/>
        <v>0</v>
      </c>
      <c r="N483" s="138">
        <f t="shared" si="380"/>
        <v>0</v>
      </c>
      <c r="O483" s="138">
        <f t="shared" si="346"/>
        <v>33840000</v>
      </c>
      <c r="P483" s="138">
        <f t="shared" si="347"/>
        <v>0</v>
      </c>
      <c r="Q483" s="138">
        <f t="shared" si="348"/>
        <v>0</v>
      </c>
      <c r="R483" s="138">
        <f t="shared" si="349"/>
        <v>33840000</v>
      </c>
      <c r="S483" s="140">
        <f t="shared" si="378"/>
        <v>39.83050847457627</v>
      </c>
      <c r="T483" s="140">
        <v>0</v>
      </c>
      <c r="U483" s="140">
        <v>0</v>
      </c>
      <c r="V483" s="140">
        <f t="shared" si="379"/>
        <v>39.83050847457627</v>
      </c>
      <c r="W483" s="138">
        <f t="shared" si="376"/>
        <v>51120000</v>
      </c>
      <c r="X483" s="247">
        <f t="shared" si="386"/>
        <v>33840000</v>
      </c>
      <c r="Y483" s="247">
        <f t="shared" si="384"/>
        <v>0</v>
      </c>
      <c r="Z483" s="247">
        <f t="shared" si="385"/>
        <v>0</v>
      </c>
      <c r="AA483" s="93"/>
    </row>
    <row r="484" spans="1:27">
      <c r="A484" s="97" t="s">
        <v>88</v>
      </c>
      <c r="B484" s="97" t="s">
        <v>89</v>
      </c>
      <c r="C484" s="98">
        <v>78120000</v>
      </c>
      <c r="D484" s="46">
        <v>0</v>
      </c>
      <c r="E484" s="46">
        <v>0</v>
      </c>
      <c r="F484" s="46">
        <f t="shared" si="387"/>
        <v>78120000</v>
      </c>
      <c r="G484" s="47">
        <v>29280000</v>
      </c>
      <c r="H484" s="47">
        <v>0</v>
      </c>
      <c r="I484" s="47">
        <v>0</v>
      </c>
      <c r="J484" s="47">
        <f t="shared" si="377"/>
        <v>29280000</v>
      </c>
      <c r="K484" s="47"/>
      <c r="L484" s="47"/>
      <c r="M484" s="47"/>
      <c r="N484" s="47">
        <f t="shared" si="380"/>
        <v>0</v>
      </c>
      <c r="O484" s="47">
        <f t="shared" si="346"/>
        <v>29280000</v>
      </c>
      <c r="P484" s="47">
        <f t="shared" si="347"/>
        <v>0</v>
      </c>
      <c r="Q484" s="47">
        <f t="shared" si="348"/>
        <v>0</v>
      </c>
      <c r="R484" s="47">
        <f t="shared" si="349"/>
        <v>29280000</v>
      </c>
      <c r="S484" s="79">
        <f t="shared" si="378"/>
        <v>37.480798771121357</v>
      </c>
      <c r="T484" s="79">
        <v>0</v>
      </c>
      <c r="U484" s="79">
        <v>0</v>
      </c>
      <c r="V484" s="79">
        <f t="shared" si="379"/>
        <v>37.480798771121357</v>
      </c>
      <c r="W484" s="47">
        <f t="shared" si="376"/>
        <v>48840000</v>
      </c>
      <c r="X484" s="247">
        <f t="shared" si="386"/>
        <v>29280000</v>
      </c>
      <c r="Y484" s="247">
        <f t="shared" si="384"/>
        <v>0</v>
      </c>
      <c r="Z484" s="247">
        <f t="shared" si="385"/>
        <v>0</v>
      </c>
      <c r="AA484" s="93"/>
    </row>
    <row r="485" spans="1:27">
      <c r="A485" s="97" t="s">
        <v>435</v>
      </c>
      <c r="B485" s="97" t="s">
        <v>436</v>
      </c>
      <c r="C485" s="98">
        <v>6840000</v>
      </c>
      <c r="D485" s="46"/>
      <c r="E485" s="46"/>
      <c r="F485" s="46">
        <f t="shared" si="387"/>
        <v>6840000</v>
      </c>
      <c r="G485" s="48">
        <v>4560000</v>
      </c>
      <c r="H485" s="47">
        <v>0</v>
      </c>
      <c r="I485" s="47">
        <v>0</v>
      </c>
      <c r="J485" s="47">
        <f t="shared" si="377"/>
        <v>4560000</v>
      </c>
      <c r="K485" s="47"/>
      <c r="L485" s="47"/>
      <c r="M485" s="47"/>
      <c r="N485" s="47">
        <f t="shared" si="380"/>
        <v>0</v>
      </c>
      <c r="O485" s="47">
        <f t="shared" si="346"/>
        <v>4560000</v>
      </c>
      <c r="P485" s="47">
        <f t="shared" si="347"/>
        <v>0</v>
      </c>
      <c r="Q485" s="47">
        <f t="shared" si="348"/>
        <v>0</v>
      </c>
      <c r="R485" s="47">
        <f t="shared" si="349"/>
        <v>4560000</v>
      </c>
      <c r="S485" s="79">
        <f t="shared" si="378"/>
        <v>66.666666666666657</v>
      </c>
      <c r="T485" s="79">
        <v>0</v>
      </c>
      <c r="U485" s="79">
        <v>0</v>
      </c>
      <c r="V485" s="79">
        <f t="shared" si="379"/>
        <v>66.666666666666657</v>
      </c>
      <c r="W485" s="47">
        <f t="shared" si="376"/>
        <v>2280000</v>
      </c>
      <c r="X485" s="247">
        <f t="shared" si="386"/>
        <v>4560000</v>
      </c>
      <c r="Y485" s="247">
        <f t="shared" si="384"/>
        <v>0</v>
      </c>
      <c r="Z485" s="247">
        <f t="shared" si="385"/>
        <v>0</v>
      </c>
      <c r="AA485" s="93"/>
    </row>
    <row r="486" spans="1:27" s="17" customFormat="1" ht="21" customHeight="1">
      <c r="A486" s="38" t="s">
        <v>466</v>
      </c>
      <c r="B486" s="137" t="s">
        <v>465</v>
      </c>
      <c r="C486" s="118">
        <f>C487</f>
        <v>1000000</v>
      </c>
      <c r="D486" s="118">
        <f>D487</f>
        <v>0</v>
      </c>
      <c r="E486" s="118">
        <f>E487</f>
        <v>0</v>
      </c>
      <c r="F486" s="118">
        <f t="shared" si="387"/>
        <v>1000000</v>
      </c>
      <c r="G486" s="118">
        <f t="shared" ref="G486:I486" si="397">G487</f>
        <v>0</v>
      </c>
      <c r="H486" s="118">
        <f t="shared" si="397"/>
        <v>0</v>
      </c>
      <c r="I486" s="118">
        <f t="shared" si="397"/>
        <v>0</v>
      </c>
      <c r="J486" s="118">
        <f t="shared" si="377"/>
        <v>0</v>
      </c>
      <c r="K486" s="118">
        <f t="shared" ref="K486:M486" si="398">K487</f>
        <v>0</v>
      </c>
      <c r="L486" s="118">
        <f t="shared" si="398"/>
        <v>0</v>
      </c>
      <c r="M486" s="118">
        <f t="shared" si="398"/>
        <v>0</v>
      </c>
      <c r="N486" s="118">
        <f t="shared" si="380"/>
        <v>0</v>
      </c>
      <c r="O486" s="118">
        <f t="shared" si="346"/>
        <v>0</v>
      </c>
      <c r="P486" s="118">
        <f t="shared" si="347"/>
        <v>0</v>
      </c>
      <c r="Q486" s="118">
        <f t="shared" si="348"/>
        <v>0</v>
      </c>
      <c r="R486" s="118">
        <f t="shared" si="349"/>
        <v>0</v>
      </c>
      <c r="S486" s="129">
        <f t="shared" si="378"/>
        <v>0</v>
      </c>
      <c r="T486" s="129">
        <v>0</v>
      </c>
      <c r="U486" s="129">
        <v>0</v>
      </c>
      <c r="V486" s="129">
        <f t="shared" si="379"/>
        <v>0</v>
      </c>
      <c r="W486" s="118">
        <f t="shared" si="376"/>
        <v>1000000</v>
      </c>
      <c r="X486" s="247">
        <f t="shared" si="386"/>
        <v>0</v>
      </c>
      <c r="Y486" s="247">
        <f t="shared" si="384"/>
        <v>0</v>
      </c>
      <c r="Z486" s="247">
        <f t="shared" si="385"/>
        <v>0</v>
      </c>
      <c r="AA486" s="93"/>
    </row>
    <row r="487" spans="1:27" s="8" customFormat="1">
      <c r="A487" s="96" t="s">
        <v>467</v>
      </c>
      <c r="B487" s="96" t="s">
        <v>468</v>
      </c>
      <c r="C487" s="138">
        <f>SUM(C488:C488)</f>
        <v>1000000</v>
      </c>
      <c r="D487" s="138">
        <f t="shared" ref="D487:M487" si="399">SUM(D488:D488)</f>
        <v>0</v>
      </c>
      <c r="E487" s="138">
        <f t="shared" si="399"/>
        <v>0</v>
      </c>
      <c r="F487" s="138">
        <f t="shared" si="387"/>
        <v>1000000</v>
      </c>
      <c r="G487" s="138">
        <f t="shared" ref="G487:I487" si="400">SUM(G488:G488)</f>
        <v>0</v>
      </c>
      <c r="H487" s="138">
        <f t="shared" si="400"/>
        <v>0</v>
      </c>
      <c r="I487" s="138">
        <f t="shared" si="400"/>
        <v>0</v>
      </c>
      <c r="J487" s="138">
        <f t="shared" si="377"/>
        <v>0</v>
      </c>
      <c r="K487" s="138">
        <f t="shared" si="399"/>
        <v>0</v>
      </c>
      <c r="L487" s="138">
        <f t="shared" si="399"/>
        <v>0</v>
      </c>
      <c r="M487" s="138">
        <f t="shared" si="399"/>
        <v>0</v>
      </c>
      <c r="N487" s="138">
        <f t="shared" si="380"/>
        <v>0</v>
      </c>
      <c r="O487" s="138">
        <f t="shared" si="346"/>
        <v>0</v>
      </c>
      <c r="P487" s="138">
        <f t="shared" si="347"/>
        <v>0</v>
      </c>
      <c r="Q487" s="138">
        <f t="shared" si="348"/>
        <v>0</v>
      </c>
      <c r="R487" s="138">
        <f t="shared" si="349"/>
        <v>0</v>
      </c>
      <c r="S487" s="140">
        <f t="shared" si="378"/>
        <v>0</v>
      </c>
      <c r="T487" s="140">
        <v>0</v>
      </c>
      <c r="U487" s="140">
        <v>0</v>
      </c>
      <c r="V487" s="140">
        <f t="shared" si="379"/>
        <v>0</v>
      </c>
      <c r="W487" s="138">
        <f t="shared" si="376"/>
        <v>1000000</v>
      </c>
      <c r="X487" s="247">
        <f t="shared" si="386"/>
        <v>0</v>
      </c>
      <c r="Y487" s="247">
        <f t="shared" si="384"/>
        <v>0</v>
      </c>
      <c r="Z487" s="247">
        <f t="shared" si="385"/>
        <v>0</v>
      </c>
      <c r="AA487" s="93"/>
    </row>
    <row r="488" spans="1:27">
      <c r="A488" s="97" t="s">
        <v>112</v>
      </c>
      <c r="B488" s="97" t="s">
        <v>439</v>
      </c>
      <c r="C488" s="98">
        <v>1000000</v>
      </c>
      <c r="D488" s="46"/>
      <c r="E488" s="46"/>
      <c r="F488" s="46">
        <f t="shared" si="387"/>
        <v>1000000</v>
      </c>
      <c r="G488" s="48"/>
      <c r="H488" s="47"/>
      <c r="I488" s="47"/>
      <c r="J488" s="47">
        <f t="shared" si="377"/>
        <v>0</v>
      </c>
      <c r="K488" s="47"/>
      <c r="L488" s="47"/>
      <c r="M488" s="47"/>
      <c r="N488" s="47">
        <f t="shared" si="380"/>
        <v>0</v>
      </c>
      <c r="O488" s="47">
        <f t="shared" si="346"/>
        <v>0</v>
      </c>
      <c r="P488" s="47">
        <f t="shared" si="347"/>
        <v>0</v>
      </c>
      <c r="Q488" s="47">
        <f t="shared" si="348"/>
        <v>0</v>
      </c>
      <c r="R488" s="47">
        <f t="shared" si="349"/>
        <v>0</v>
      </c>
      <c r="S488" s="79">
        <f t="shared" si="378"/>
        <v>0</v>
      </c>
      <c r="T488" s="79">
        <v>0</v>
      </c>
      <c r="U488" s="79">
        <v>0</v>
      </c>
      <c r="V488" s="79">
        <f t="shared" si="379"/>
        <v>0</v>
      </c>
      <c r="W488" s="47">
        <f t="shared" si="376"/>
        <v>1000000</v>
      </c>
      <c r="X488" s="247">
        <f t="shared" si="386"/>
        <v>0</v>
      </c>
      <c r="Y488" s="247">
        <f t="shared" si="384"/>
        <v>0</v>
      </c>
      <c r="Z488" s="247">
        <f t="shared" si="385"/>
        <v>0</v>
      </c>
      <c r="AA488" s="93"/>
    </row>
    <row r="489" spans="1:27" s="9" customFormat="1" ht="17.25" customHeight="1">
      <c r="A489" s="38" t="s">
        <v>92</v>
      </c>
      <c r="B489" s="39" t="s">
        <v>93</v>
      </c>
      <c r="C489" s="101">
        <f>C490</f>
        <v>54000000</v>
      </c>
      <c r="D489" s="101">
        <f>D490</f>
        <v>0</v>
      </c>
      <c r="E489" s="101">
        <f>E490</f>
        <v>0</v>
      </c>
      <c r="F489" s="101">
        <f t="shared" si="387"/>
        <v>54000000</v>
      </c>
      <c r="G489" s="101">
        <f t="shared" ref="G489:I489" si="401">G490</f>
        <v>49430683</v>
      </c>
      <c r="H489" s="101">
        <f t="shared" si="401"/>
        <v>0</v>
      </c>
      <c r="I489" s="101">
        <f t="shared" si="401"/>
        <v>0</v>
      </c>
      <c r="J489" s="101">
        <f t="shared" si="377"/>
        <v>49430683</v>
      </c>
      <c r="K489" s="101">
        <f t="shared" ref="K489:M489" si="402">K490</f>
        <v>0</v>
      </c>
      <c r="L489" s="101">
        <f t="shared" si="402"/>
        <v>0</v>
      </c>
      <c r="M489" s="101">
        <f t="shared" si="402"/>
        <v>0</v>
      </c>
      <c r="N489" s="101">
        <f t="shared" si="380"/>
        <v>0</v>
      </c>
      <c r="O489" s="101">
        <f t="shared" si="346"/>
        <v>49430683</v>
      </c>
      <c r="P489" s="101">
        <f t="shared" si="347"/>
        <v>0</v>
      </c>
      <c r="Q489" s="101">
        <f t="shared" si="348"/>
        <v>0</v>
      </c>
      <c r="R489" s="101">
        <f t="shared" si="349"/>
        <v>49430683</v>
      </c>
      <c r="S489" s="104">
        <f t="shared" si="378"/>
        <v>91.538301851851855</v>
      </c>
      <c r="T489" s="104">
        <v>0</v>
      </c>
      <c r="U489" s="104">
        <v>0</v>
      </c>
      <c r="V489" s="104">
        <f t="shared" si="379"/>
        <v>91.538301851851855</v>
      </c>
      <c r="W489" s="101">
        <f t="shared" si="376"/>
        <v>4569317</v>
      </c>
      <c r="X489" s="247">
        <f t="shared" si="386"/>
        <v>49430683</v>
      </c>
      <c r="Y489" s="247">
        <f t="shared" si="384"/>
        <v>0</v>
      </c>
      <c r="Z489" s="247">
        <f t="shared" si="385"/>
        <v>0</v>
      </c>
      <c r="AA489" s="93"/>
    </row>
    <row r="490" spans="1:27" s="5" customFormat="1">
      <c r="A490" s="96" t="s">
        <v>96</v>
      </c>
      <c r="B490" s="96" t="s">
        <v>97</v>
      </c>
      <c r="C490" s="60">
        <f>SUM(C491:C492)</f>
        <v>54000000</v>
      </c>
      <c r="D490" s="60">
        <f>SUM(D491:D492)</f>
        <v>0</v>
      </c>
      <c r="E490" s="60">
        <f>SUM(E491:E492)</f>
        <v>0</v>
      </c>
      <c r="F490" s="60">
        <f t="shared" si="387"/>
        <v>54000000</v>
      </c>
      <c r="G490" s="60">
        <f t="shared" ref="G490:H490" si="403">SUM(G491:G492)</f>
        <v>49430683</v>
      </c>
      <c r="H490" s="60">
        <f t="shared" si="403"/>
        <v>0</v>
      </c>
      <c r="I490" s="60">
        <f>SUM(I491:I492)</f>
        <v>0</v>
      </c>
      <c r="J490" s="60">
        <f t="shared" si="377"/>
        <v>49430683</v>
      </c>
      <c r="K490" s="60">
        <f t="shared" ref="K490:L490" si="404">SUM(K491:K492)</f>
        <v>0</v>
      </c>
      <c r="L490" s="60">
        <f t="shared" si="404"/>
        <v>0</v>
      </c>
      <c r="M490" s="60">
        <f>SUM(M491:M492)</f>
        <v>0</v>
      </c>
      <c r="N490" s="60">
        <f t="shared" si="380"/>
        <v>0</v>
      </c>
      <c r="O490" s="60">
        <f t="shared" si="346"/>
        <v>49430683</v>
      </c>
      <c r="P490" s="60">
        <f t="shared" si="347"/>
        <v>0</v>
      </c>
      <c r="Q490" s="60">
        <f t="shared" si="348"/>
        <v>0</v>
      </c>
      <c r="R490" s="60">
        <f t="shared" si="349"/>
        <v>49430683</v>
      </c>
      <c r="S490" s="84">
        <f t="shared" si="378"/>
        <v>91.538301851851855</v>
      </c>
      <c r="T490" s="84">
        <v>0</v>
      </c>
      <c r="U490" s="84">
        <v>0</v>
      </c>
      <c r="V490" s="84">
        <f t="shared" si="379"/>
        <v>91.538301851851855</v>
      </c>
      <c r="W490" s="60">
        <f t="shared" si="376"/>
        <v>4569317</v>
      </c>
      <c r="X490" s="247">
        <f t="shared" si="386"/>
        <v>49430683</v>
      </c>
      <c r="Y490" s="247">
        <f t="shared" si="384"/>
        <v>0</v>
      </c>
      <c r="Z490" s="247">
        <f t="shared" si="385"/>
        <v>0</v>
      </c>
      <c r="AA490" s="93"/>
    </row>
    <row r="491" spans="1:27">
      <c r="A491" s="97" t="s">
        <v>98</v>
      </c>
      <c r="B491" s="97" t="s">
        <v>315</v>
      </c>
      <c r="C491" s="98">
        <v>36000000</v>
      </c>
      <c r="D491" s="46">
        <v>0</v>
      </c>
      <c r="E491" s="46">
        <v>0</v>
      </c>
      <c r="F491" s="46">
        <f t="shared" si="387"/>
        <v>36000000</v>
      </c>
      <c r="G491" s="48">
        <v>31500000</v>
      </c>
      <c r="H491" s="47">
        <v>0</v>
      </c>
      <c r="I491" s="47">
        <v>0</v>
      </c>
      <c r="J491" s="47">
        <f t="shared" si="377"/>
        <v>31500000</v>
      </c>
      <c r="K491" s="47"/>
      <c r="L491" s="47"/>
      <c r="M491" s="47"/>
      <c r="N491" s="47">
        <f t="shared" si="380"/>
        <v>0</v>
      </c>
      <c r="O491" s="47">
        <f t="shared" si="346"/>
        <v>31500000</v>
      </c>
      <c r="P491" s="47">
        <f t="shared" si="347"/>
        <v>0</v>
      </c>
      <c r="Q491" s="47">
        <f t="shared" si="348"/>
        <v>0</v>
      </c>
      <c r="R491" s="47">
        <f t="shared" si="349"/>
        <v>31500000</v>
      </c>
      <c r="S491" s="79">
        <f t="shared" si="378"/>
        <v>87.5</v>
      </c>
      <c r="T491" s="79">
        <v>0</v>
      </c>
      <c r="U491" s="79">
        <v>0</v>
      </c>
      <c r="V491" s="79">
        <f t="shared" si="379"/>
        <v>87.5</v>
      </c>
      <c r="W491" s="47">
        <f t="shared" si="376"/>
        <v>4500000</v>
      </c>
      <c r="X491" s="247">
        <f t="shared" si="386"/>
        <v>31500000</v>
      </c>
      <c r="Y491" s="247">
        <f t="shared" si="384"/>
        <v>0</v>
      </c>
      <c r="Z491" s="247">
        <f t="shared" si="385"/>
        <v>0</v>
      </c>
      <c r="AA491" s="93"/>
    </row>
    <row r="492" spans="1:27">
      <c r="A492" s="97" t="s">
        <v>100</v>
      </c>
      <c r="B492" s="97" t="s">
        <v>101</v>
      </c>
      <c r="C492" s="98">
        <v>18000000</v>
      </c>
      <c r="D492" s="46">
        <v>0</v>
      </c>
      <c r="E492" s="46">
        <v>0</v>
      </c>
      <c r="F492" s="46">
        <f t="shared" si="387"/>
        <v>18000000</v>
      </c>
      <c r="G492" s="48">
        <v>17930683</v>
      </c>
      <c r="H492" s="47">
        <v>0</v>
      </c>
      <c r="I492" s="47">
        <v>0</v>
      </c>
      <c r="J492" s="47">
        <f t="shared" si="377"/>
        <v>17930683</v>
      </c>
      <c r="K492" s="80"/>
      <c r="L492" s="47"/>
      <c r="M492" s="47"/>
      <c r="N492" s="47">
        <f t="shared" si="380"/>
        <v>0</v>
      </c>
      <c r="O492" s="47">
        <f t="shared" si="346"/>
        <v>17930683</v>
      </c>
      <c r="P492" s="47">
        <f t="shared" si="347"/>
        <v>0</v>
      </c>
      <c r="Q492" s="47">
        <f t="shared" si="348"/>
        <v>0</v>
      </c>
      <c r="R492" s="47">
        <f t="shared" si="349"/>
        <v>17930683</v>
      </c>
      <c r="S492" s="79">
        <f t="shared" si="378"/>
        <v>99.614905555555552</v>
      </c>
      <c r="T492" s="79">
        <v>0</v>
      </c>
      <c r="U492" s="79">
        <v>0</v>
      </c>
      <c r="V492" s="79">
        <f t="shared" si="379"/>
        <v>99.614905555555552</v>
      </c>
      <c r="W492" s="47">
        <f t="shared" si="376"/>
        <v>69317</v>
      </c>
      <c r="X492" s="247">
        <f t="shared" si="386"/>
        <v>17930683</v>
      </c>
      <c r="Y492" s="247">
        <f t="shared" si="384"/>
        <v>0</v>
      </c>
      <c r="Z492" s="247">
        <f t="shared" si="385"/>
        <v>0</v>
      </c>
      <c r="AA492" s="93"/>
    </row>
    <row r="493" spans="1:27" s="9" customFormat="1" ht="16.5" customHeight="1">
      <c r="A493" s="38" t="s">
        <v>102</v>
      </c>
      <c r="B493" s="137" t="s">
        <v>103</v>
      </c>
      <c r="C493" s="101">
        <f>C494+C496+C504+C506+C509+C511</f>
        <v>381795666</v>
      </c>
      <c r="D493" s="101">
        <f>D494+D496+D504+D506+D509+D511</f>
        <v>0</v>
      </c>
      <c r="E493" s="101">
        <f>E494+E496+E504+E506+E509+E511</f>
        <v>0</v>
      </c>
      <c r="F493" s="101">
        <f t="shared" si="387"/>
        <v>381795666</v>
      </c>
      <c r="G493" s="101">
        <f t="shared" ref="G493:H493" si="405">G494+G496+G504+G506+G509+G511</f>
        <v>309808065</v>
      </c>
      <c r="H493" s="101">
        <f t="shared" si="405"/>
        <v>0</v>
      </c>
      <c r="I493" s="101">
        <f>I494+I496+I504+I506+I509+I511</f>
        <v>0</v>
      </c>
      <c r="J493" s="101">
        <f t="shared" si="377"/>
        <v>309808065</v>
      </c>
      <c r="K493" s="101">
        <f t="shared" ref="K493:L493" si="406">K494+K496+K504+K506+K509+K511</f>
        <v>0</v>
      </c>
      <c r="L493" s="101">
        <f t="shared" si="406"/>
        <v>0</v>
      </c>
      <c r="M493" s="101">
        <f>M494+M496+M504+M506+M509+M511</f>
        <v>0</v>
      </c>
      <c r="N493" s="101">
        <f t="shared" si="380"/>
        <v>0</v>
      </c>
      <c r="O493" s="101">
        <f t="shared" si="346"/>
        <v>309808065</v>
      </c>
      <c r="P493" s="101">
        <f t="shared" si="347"/>
        <v>0</v>
      </c>
      <c r="Q493" s="101">
        <f t="shared" si="348"/>
        <v>0</v>
      </c>
      <c r="R493" s="101">
        <f t="shared" si="349"/>
        <v>309808065</v>
      </c>
      <c r="S493" s="104">
        <f t="shared" si="378"/>
        <v>81.144992620214822</v>
      </c>
      <c r="T493" s="104">
        <v>0</v>
      </c>
      <c r="U493" s="104">
        <v>0</v>
      </c>
      <c r="V493" s="104">
        <f t="shared" si="379"/>
        <v>81.144992620214822</v>
      </c>
      <c r="W493" s="101">
        <f t="shared" si="376"/>
        <v>71987601</v>
      </c>
      <c r="X493" s="247">
        <f t="shared" si="386"/>
        <v>309808065</v>
      </c>
      <c r="Y493" s="247">
        <f t="shared" si="384"/>
        <v>0</v>
      </c>
      <c r="Z493" s="247">
        <f t="shared" si="385"/>
        <v>0</v>
      </c>
      <c r="AA493" s="93"/>
    </row>
    <row r="494" spans="1:27" s="5" customFormat="1">
      <c r="A494" s="96" t="s">
        <v>104</v>
      </c>
      <c r="B494" s="96" t="s">
        <v>105</v>
      </c>
      <c r="C494" s="60">
        <f>C495</f>
        <v>9081300</v>
      </c>
      <c r="D494" s="60">
        <f>D495</f>
        <v>0</v>
      </c>
      <c r="E494" s="60">
        <f>E495</f>
        <v>0</v>
      </c>
      <c r="F494" s="60">
        <f t="shared" si="387"/>
        <v>9081300</v>
      </c>
      <c r="G494" s="60">
        <f t="shared" ref="G494:I494" si="407">G495</f>
        <v>6707600</v>
      </c>
      <c r="H494" s="60">
        <f t="shared" si="407"/>
        <v>0</v>
      </c>
      <c r="I494" s="60">
        <f t="shared" si="407"/>
        <v>0</v>
      </c>
      <c r="J494" s="60">
        <f t="shared" si="377"/>
        <v>6707600</v>
      </c>
      <c r="K494" s="60">
        <f t="shared" ref="K494:M494" si="408">K495</f>
        <v>0</v>
      </c>
      <c r="L494" s="60">
        <f t="shared" si="408"/>
        <v>0</v>
      </c>
      <c r="M494" s="60">
        <f t="shared" si="408"/>
        <v>0</v>
      </c>
      <c r="N494" s="60">
        <f t="shared" si="380"/>
        <v>0</v>
      </c>
      <c r="O494" s="60">
        <f t="shared" si="346"/>
        <v>6707600</v>
      </c>
      <c r="P494" s="60">
        <f t="shared" si="347"/>
        <v>0</v>
      </c>
      <c r="Q494" s="60">
        <f t="shared" si="348"/>
        <v>0</v>
      </c>
      <c r="R494" s="60">
        <f t="shared" si="349"/>
        <v>6707600</v>
      </c>
      <c r="S494" s="84">
        <f t="shared" si="378"/>
        <v>73.861671787078947</v>
      </c>
      <c r="T494" s="84">
        <v>0</v>
      </c>
      <c r="U494" s="84">
        <v>0</v>
      </c>
      <c r="V494" s="84">
        <f t="shared" si="379"/>
        <v>73.861671787078947</v>
      </c>
      <c r="W494" s="60">
        <f t="shared" si="376"/>
        <v>2373700</v>
      </c>
      <c r="X494" s="247">
        <f t="shared" si="386"/>
        <v>6707600</v>
      </c>
      <c r="Y494" s="247">
        <f t="shared" si="384"/>
        <v>0</v>
      </c>
      <c r="Z494" s="247">
        <f t="shared" si="385"/>
        <v>0</v>
      </c>
      <c r="AA494" s="93"/>
    </row>
    <row r="495" spans="1:27">
      <c r="A495" s="97" t="s">
        <v>106</v>
      </c>
      <c r="B495" s="97" t="s">
        <v>308</v>
      </c>
      <c r="C495" s="98">
        <v>9081300</v>
      </c>
      <c r="D495" s="46">
        <v>0</v>
      </c>
      <c r="E495" s="46">
        <v>0</v>
      </c>
      <c r="F495" s="46">
        <f t="shared" si="387"/>
        <v>9081300</v>
      </c>
      <c r="G495" s="48">
        <v>6707600</v>
      </c>
      <c r="H495" s="47">
        <v>0</v>
      </c>
      <c r="I495" s="47">
        <v>0</v>
      </c>
      <c r="J495" s="47">
        <f t="shared" si="377"/>
        <v>6707600</v>
      </c>
      <c r="K495" s="47"/>
      <c r="L495" s="47"/>
      <c r="M495" s="47"/>
      <c r="N495" s="47">
        <f t="shared" si="380"/>
        <v>0</v>
      </c>
      <c r="O495" s="47">
        <f t="shared" si="346"/>
        <v>6707600</v>
      </c>
      <c r="P495" s="47">
        <f t="shared" si="347"/>
        <v>0</v>
      </c>
      <c r="Q495" s="47">
        <f t="shared" si="348"/>
        <v>0</v>
      </c>
      <c r="R495" s="47">
        <f t="shared" si="349"/>
        <v>6707600</v>
      </c>
      <c r="S495" s="79">
        <f t="shared" si="378"/>
        <v>73.861671787078947</v>
      </c>
      <c r="T495" s="79">
        <v>0</v>
      </c>
      <c r="U495" s="79">
        <v>0</v>
      </c>
      <c r="V495" s="79">
        <f t="shared" si="379"/>
        <v>73.861671787078947</v>
      </c>
      <c r="W495" s="47">
        <f t="shared" si="376"/>
        <v>2373700</v>
      </c>
      <c r="X495" s="247">
        <f t="shared" si="386"/>
        <v>6707600</v>
      </c>
      <c r="Y495" s="247">
        <f t="shared" si="384"/>
        <v>0</v>
      </c>
      <c r="Z495" s="247">
        <f t="shared" si="385"/>
        <v>0</v>
      </c>
      <c r="AA495" s="93"/>
    </row>
    <row r="496" spans="1:27" s="5" customFormat="1">
      <c r="A496" s="96" t="s">
        <v>108</v>
      </c>
      <c r="B496" s="96" t="s">
        <v>109</v>
      </c>
      <c r="C496" s="60">
        <f>SUM(C497:C503)</f>
        <v>56549366</v>
      </c>
      <c r="D496" s="60">
        <f>SUM(D497:D503)</f>
        <v>0</v>
      </c>
      <c r="E496" s="60">
        <f>SUM(E497:E503)</f>
        <v>0</v>
      </c>
      <c r="F496" s="60">
        <f t="shared" si="387"/>
        <v>56549366</v>
      </c>
      <c r="G496" s="60">
        <f t="shared" ref="G496:H496" si="409">SUM(G497:G503)</f>
        <v>36537724</v>
      </c>
      <c r="H496" s="60">
        <f t="shared" si="409"/>
        <v>0</v>
      </c>
      <c r="I496" s="60">
        <f>SUM(I497:I503)</f>
        <v>0</v>
      </c>
      <c r="J496" s="60">
        <f t="shared" si="377"/>
        <v>36537724</v>
      </c>
      <c r="K496" s="60">
        <f t="shared" ref="K496:L496" si="410">SUM(K497:K503)</f>
        <v>0</v>
      </c>
      <c r="L496" s="60">
        <f t="shared" si="410"/>
        <v>0</v>
      </c>
      <c r="M496" s="60">
        <f>SUM(M497:M503)</f>
        <v>0</v>
      </c>
      <c r="N496" s="60">
        <f t="shared" si="380"/>
        <v>0</v>
      </c>
      <c r="O496" s="60">
        <f t="shared" si="346"/>
        <v>36537724</v>
      </c>
      <c r="P496" s="60">
        <f t="shared" si="347"/>
        <v>0</v>
      </c>
      <c r="Q496" s="60">
        <f t="shared" si="348"/>
        <v>0</v>
      </c>
      <c r="R496" s="60">
        <f t="shared" si="349"/>
        <v>36537724</v>
      </c>
      <c r="S496" s="84">
        <f t="shared" si="378"/>
        <v>64.612084245117799</v>
      </c>
      <c r="T496" s="84">
        <v>0</v>
      </c>
      <c r="U496" s="84">
        <v>0</v>
      </c>
      <c r="V496" s="84">
        <f t="shared" si="379"/>
        <v>64.612084245117799</v>
      </c>
      <c r="W496" s="60">
        <f t="shared" si="376"/>
        <v>20011642</v>
      </c>
      <c r="X496" s="247">
        <f t="shared" si="386"/>
        <v>36537724</v>
      </c>
      <c r="Y496" s="247">
        <f t="shared" si="384"/>
        <v>0</v>
      </c>
      <c r="Z496" s="247">
        <f t="shared" si="385"/>
        <v>0</v>
      </c>
      <c r="AA496" s="93"/>
    </row>
    <row r="497" spans="1:27">
      <c r="A497" s="97" t="s">
        <v>291</v>
      </c>
      <c r="B497" s="97" t="s">
        <v>292</v>
      </c>
      <c r="C497" s="98">
        <v>1665000</v>
      </c>
      <c r="D497" s="46">
        <v>0</v>
      </c>
      <c r="E497" s="46">
        <v>0</v>
      </c>
      <c r="F497" s="46">
        <f t="shared" si="387"/>
        <v>1665000</v>
      </c>
      <c r="G497" s="48">
        <v>1584000</v>
      </c>
      <c r="H497" s="47">
        <v>0</v>
      </c>
      <c r="I497" s="47">
        <v>0</v>
      </c>
      <c r="J497" s="47">
        <f t="shared" si="377"/>
        <v>1584000</v>
      </c>
      <c r="K497" s="47"/>
      <c r="L497" s="47"/>
      <c r="M497" s="47"/>
      <c r="N497" s="47">
        <f t="shared" si="380"/>
        <v>0</v>
      </c>
      <c r="O497" s="47">
        <f t="shared" si="346"/>
        <v>1584000</v>
      </c>
      <c r="P497" s="47">
        <f t="shared" si="347"/>
        <v>0</v>
      </c>
      <c r="Q497" s="47">
        <f t="shared" si="348"/>
        <v>0</v>
      </c>
      <c r="R497" s="47">
        <f t="shared" si="349"/>
        <v>1584000</v>
      </c>
      <c r="S497" s="79">
        <f t="shared" si="378"/>
        <v>95.135135135135144</v>
      </c>
      <c r="T497" s="79">
        <v>0</v>
      </c>
      <c r="U497" s="79">
        <v>0</v>
      </c>
      <c r="V497" s="79">
        <f t="shared" si="379"/>
        <v>95.135135135135144</v>
      </c>
      <c r="W497" s="47">
        <f t="shared" si="376"/>
        <v>81000</v>
      </c>
      <c r="X497" s="247">
        <f t="shared" si="386"/>
        <v>1584000</v>
      </c>
      <c r="Y497" s="247">
        <f t="shared" si="384"/>
        <v>0</v>
      </c>
      <c r="Z497" s="247">
        <f t="shared" si="385"/>
        <v>0</v>
      </c>
      <c r="AA497" s="93"/>
    </row>
    <row r="498" spans="1:27">
      <c r="A498" s="97" t="s">
        <v>293</v>
      </c>
      <c r="B498" s="97" t="s">
        <v>294</v>
      </c>
      <c r="C498" s="98">
        <v>11718000</v>
      </c>
      <c r="D498" s="46">
        <v>0</v>
      </c>
      <c r="E498" s="46">
        <v>0</v>
      </c>
      <c r="F498" s="46">
        <f t="shared" si="387"/>
        <v>11718000</v>
      </c>
      <c r="G498" s="47">
        <v>5760000</v>
      </c>
      <c r="H498" s="47">
        <v>0</v>
      </c>
      <c r="I498" s="47">
        <v>0</v>
      </c>
      <c r="J498" s="47">
        <f t="shared" si="377"/>
        <v>5760000</v>
      </c>
      <c r="K498" s="47"/>
      <c r="L498" s="47"/>
      <c r="M498" s="47"/>
      <c r="N498" s="47">
        <f t="shared" si="380"/>
        <v>0</v>
      </c>
      <c r="O498" s="47">
        <f t="shared" si="346"/>
        <v>5760000</v>
      </c>
      <c r="P498" s="47">
        <f t="shared" si="347"/>
        <v>0</v>
      </c>
      <c r="Q498" s="47">
        <f t="shared" si="348"/>
        <v>0</v>
      </c>
      <c r="R498" s="47">
        <f t="shared" si="349"/>
        <v>5760000</v>
      </c>
      <c r="S498" s="79">
        <f t="shared" si="378"/>
        <v>49.155145929339476</v>
      </c>
      <c r="T498" s="79">
        <v>0</v>
      </c>
      <c r="U498" s="79">
        <v>0</v>
      </c>
      <c r="V498" s="79">
        <f t="shared" si="379"/>
        <v>49.155145929339476</v>
      </c>
      <c r="W498" s="47">
        <f t="shared" si="376"/>
        <v>5958000</v>
      </c>
      <c r="X498" s="247">
        <f t="shared" si="386"/>
        <v>5760000</v>
      </c>
      <c r="Y498" s="247">
        <f t="shared" si="384"/>
        <v>0</v>
      </c>
      <c r="Z498" s="247">
        <f t="shared" si="385"/>
        <v>0</v>
      </c>
      <c r="AA498" s="93"/>
    </row>
    <row r="499" spans="1:27">
      <c r="A499" s="97" t="s">
        <v>123</v>
      </c>
      <c r="B499" s="97" t="s">
        <v>111</v>
      </c>
      <c r="C499" s="98">
        <v>19000043</v>
      </c>
      <c r="D499" s="46">
        <v>0</v>
      </c>
      <c r="E499" s="46">
        <v>0</v>
      </c>
      <c r="F499" s="46">
        <f t="shared" si="387"/>
        <v>19000043</v>
      </c>
      <c r="G499" s="47">
        <v>12905970</v>
      </c>
      <c r="H499" s="47">
        <v>0</v>
      </c>
      <c r="I499" s="47">
        <v>0</v>
      </c>
      <c r="J499" s="47">
        <f t="shared" si="377"/>
        <v>12905970</v>
      </c>
      <c r="K499" s="47"/>
      <c r="L499" s="47"/>
      <c r="M499" s="47"/>
      <c r="N499" s="47">
        <f t="shared" si="380"/>
        <v>0</v>
      </c>
      <c r="O499" s="47">
        <f t="shared" si="346"/>
        <v>12905970</v>
      </c>
      <c r="P499" s="47">
        <f t="shared" si="347"/>
        <v>0</v>
      </c>
      <c r="Q499" s="47">
        <f t="shared" si="348"/>
        <v>0</v>
      </c>
      <c r="R499" s="47">
        <f t="shared" si="349"/>
        <v>12905970</v>
      </c>
      <c r="S499" s="79">
        <f t="shared" si="378"/>
        <v>67.926004167464242</v>
      </c>
      <c r="T499" s="79">
        <v>0</v>
      </c>
      <c r="U499" s="79">
        <v>0</v>
      </c>
      <c r="V499" s="79">
        <f t="shared" si="379"/>
        <v>67.926004167464242</v>
      </c>
      <c r="W499" s="47">
        <f t="shared" si="376"/>
        <v>6094073</v>
      </c>
      <c r="X499" s="247">
        <f t="shared" si="386"/>
        <v>12905970</v>
      </c>
      <c r="Y499" s="247">
        <f t="shared" si="384"/>
        <v>0</v>
      </c>
      <c r="Z499" s="247">
        <f t="shared" si="385"/>
        <v>0</v>
      </c>
      <c r="AA499" s="93"/>
    </row>
    <row r="500" spans="1:27">
      <c r="A500" s="97" t="s">
        <v>373</v>
      </c>
      <c r="B500" s="97" t="s">
        <v>374</v>
      </c>
      <c r="C500" s="98">
        <v>10456500</v>
      </c>
      <c r="D500" s="46"/>
      <c r="E500" s="46"/>
      <c r="F500" s="46">
        <f t="shared" si="387"/>
        <v>10456500</v>
      </c>
      <c r="G500" s="47">
        <v>7091790</v>
      </c>
      <c r="H500" s="47">
        <v>0</v>
      </c>
      <c r="I500" s="47">
        <v>0</v>
      </c>
      <c r="J500" s="47">
        <f t="shared" si="377"/>
        <v>7091790</v>
      </c>
      <c r="K500" s="47"/>
      <c r="L500" s="47"/>
      <c r="M500" s="47"/>
      <c r="N500" s="47">
        <f t="shared" si="380"/>
        <v>0</v>
      </c>
      <c r="O500" s="47">
        <f t="shared" si="346"/>
        <v>7091790</v>
      </c>
      <c r="P500" s="47">
        <f t="shared" si="347"/>
        <v>0</v>
      </c>
      <c r="Q500" s="47">
        <f t="shared" si="348"/>
        <v>0</v>
      </c>
      <c r="R500" s="47">
        <f t="shared" si="349"/>
        <v>7091790</v>
      </c>
      <c r="S500" s="79">
        <f t="shared" si="378"/>
        <v>67.821833309424761</v>
      </c>
      <c r="T500" s="79">
        <v>0</v>
      </c>
      <c r="U500" s="79">
        <v>0</v>
      </c>
      <c r="V500" s="79">
        <f t="shared" si="379"/>
        <v>67.821833309424761</v>
      </c>
      <c r="W500" s="47">
        <f t="shared" si="376"/>
        <v>3364710</v>
      </c>
      <c r="X500" s="247">
        <f t="shared" si="386"/>
        <v>7091790</v>
      </c>
      <c r="Y500" s="247">
        <f t="shared" si="384"/>
        <v>0</v>
      </c>
      <c r="Z500" s="247">
        <f t="shared" si="385"/>
        <v>0</v>
      </c>
      <c r="AA500" s="93"/>
    </row>
    <row r="501" spans="1:27">
      <c r="A501" s="97" t="s">
        <v>295</v>
      </c>
      <c r="B501" s="97" t="s">
        <v>116</v>
      </c>
      <c r="C501" s="98">
        <v>6050823</v>
      </c>
      <c r="D501" s="46">
        <v>0</v>
      </c>
      <c r="E501" s="46">
        <v>0</v>
      </c>
      <c r="F501" s="46">
        <f t="shared" si="387"/>
        <v>6050823</v>
      </c>
      <c r="G501" s="48">
        <v>4435964</v>
      </c>
      <c r="H501" s="47">
        <v>0</v>
      </c>
      <c r="I501" s="47">
        <v>0</v>
      </c>
      <c r="J501" s="47">
        <f t="shared" si="377"/>
        <v>4435964</v>
      </c>
      <c r="K501" s="47"/>
      <c r="L501" s="47"/>
      <c r="M501" s="47"/>
      <c r="N501" s="47">
        <f t="shared" si="380"/>
        <v>0</v>
      </c>
      <c r="O501" s="47">
        <f t="shared" si="346"/>
        <v>4435964</v>
      </c>
      <c r="P501" s="47">
        <f t="shared" si="347"/>
        <v>0</v>
      </c>
      <c r="Q501" s="47">
        <f t="shared" si="348"/>
        <v>0</v>
      </c>
      <c r="R501" s="47">
        <f t="shared" si="349"/>
        <v>4435964</v>
      </c>
      <c r="S501" s="79">
        <f t="shared" si="378"/>
        <v>73.311746187254201</v>
      </c>
      <c r="T501" s="79">
        <v>0</v>
      </c>
      <c r="U501" s="79">
        <v>0</v>
      </c>
      <c r="V501" s="79">
        <f t="shared" si="379"/>
        <v>73.311746187254201</v>
      </c>
      <c r="W501" s="47">
        <f t="shared" si="376"/>
        <v>1614859</v>
      </c>
      <c r="X501" s="247">
        <f t="shared" si="386"/>
        <v>4435964</v>
      </c>
      <c r="Y501" s="247">
        <f t="shared" si="384"/>
        <v>0</v>
      </c>
      <c r="Z501" s="247">
        <f t="shared" si="385"/>
        <v>0</v>
      </c>
      <c r="AA501" s="93"/>
    </row>
    <row r="502" spans="1:27" ht="19.5" customHeight="1">
      <c r="A502" s="97" t="s">
        <v>231</v>
      </c>
      <c r="B502" s="97" t="s">
        <v>119</v>
      </c>
      <c r="C502" s="98">
        <v>2859000</v>
      </c>
      <c r="D502" s="46">
        <v>0</v>
      </c>
      <c r="E502" s="46">
        <v>0</v>
      </c>
      <c r="F502" s="46">
        <f t="shared" si="387"/>
        <v>2859000</v>
      </c>
      <c r="G502" s="48">
        <v>1880000</v>
      </c>
      <c r="H502" s="47">
        <v>0</v>
      </c>
      <c r="I502" s="47">
        <v>0</v>
      </c>
      <c r="J502" s="47">
        <f t="shared" si="377"/>
        <v>1880000</v>
      </c>
      <c r="K502" s="47"/>
      <c r="L502" s="47"/>
      <c r="M502" s="47"/>
      <c r="N502" s="47">
        <f t="shared" si="380"/>
        <v>0</v>
      </c>
      <c r="O502" s="47">
        <f t="shared" si="346"/>
        <v>1880000</v>
      </c>
      <c r="P502" s="47">
        <f t="shared" si="347"/>
        <v>0</v>
      </c>
      <c r="Q502" s="47">
        <f t="shared" si="348"/>
        <v>0</v>
      </c>
      <c r="R502" s="47">
        <f t="shared" si="349"/>
        <v>1880000</v>
      </c>
      <c r="S502" s="79">
        <f t="shared" si="378"/>
        <v>65.757257782441414</v>
      </c>
      <c r="T502" s="79">
        <v>0</v>
      </c>
      <c r="U502" s="79">
        <v>0</v>
      </c>
      <c r="V502" s="79">
        <f t="shared" si="379"/>
        <v>65.757257782441414</v>
      </c>
      <c r="W502" s="47">
        <f t="shared" si="376"/>
        <v>979000</v>
      </c>
      <c r="X502" s="247">
        <f t="shared" si="386"/>
        <v>1880000</v>
      </c>
      <c r="Y502" s="247">
        <f t="shared" si="384"/>
        <v>0</v>
      </c>
      <c r="Z502" s="247">
        <f t="shared" si="385"/>
        <v>0</v>
      </c>
      <c r="AA502" s="93"/>
    </row>
    <row r="503" spans="1:27">
      <c r="A503" s="97" t="s">
        <v>296</v>
      </c>
      <c r="B503" s="97" t="s">
        <v>297</v>
      </c>
      <c r="C503" s="98">
        <v>4800000</v>
      </c>
      <c r="D503" s="46">
        <v>0</v>
      </c>
      <c r="E503" s="46">
        <v>0</v>
      </c>
      <c r="F503" s="46">
        <f t="shared" si="387"/>
        <v>4800000</v>
      </c>
      <c r="G503" s="48">
        <v>2880000</v>
      </c>
      <c r="H503" s="47">
        <v>0</v>
      </c>
      <c r="I503" s="47">
        <v>0</v>
      </c>
      <c r="J503" s="47">
        <f t="shared" si="377"/>
        <v>2880000</v>
      </c>
      <c r="K503" s="47"/>
      <c r="L503" s="47"/>
      <c r="M503" s="47"/>
      <c r="N503" s="47">
        <f t="shared" si="380"/>
        <v>0</v>
      </c>
      <c r="O503" s="47">
        <f t="shared" si="346"/>
        <v>2880000</v>
      </c>
      <c r="P503" s="47">
        <f t="shared" si="347"/>
        <v>0</v>
      </c>
      <c r="Q503" s="47">
        <f t="shared" si="348"/>
        <v>0</v>
      </c>
      <c r="R503" s="47">
        <f t="shared" si="349"/>
        <v>2880000</v>
      </c>
      <c r="S503" s="79">
        <f t="shared" si="378"/>
        <v>60</v>
      </c>
      <c r="T503" s="79">
        <v>0</v>
      </c>
      <c r="U503" s="79">
        <v>0</v>
      </c>
      <c r="V503" s="79">
        <f t="shared" si="379"/>
        <v>60</v>
      </c>
      <c r="W503" s="47">
        <f t="shared" si="376"/>
        <v>1920000</v>
      </c>
      <c r="X503" s="247">
        <f t="shared" si="386"/>
        <v>2880000</v>
      </c>
      <c r="Y503" s="247">
        <f t="shared" si="384"/>
        <v>0</v>
      </c>
      <c r="Z503" s="247">
        <f t="shared" si="385"/>
        <v>0</v>
      </c>
      <c r="AA503" s="93"/>
    </row>
    <row r="504" spans="1:27" s="7" customFormat="1">
      <c r="A504" s="96" t="s">
        <v>121</v>
      </c>
      <c r="B504" s="96" t="s">
        <v>122</v>
      </c>
      <c r="C504" s="60">
        <f t="shared" ref="C504:M504" si="411">SUM(C505:C505)</f>
        <v>34176000</v>
      </c>
      <c r="D504" s="60">
        <f t="shared" si="411"/>
        <v>0</v>
      </c>
      <c r="E504" s="60">
        <f t="shared" si="411"/>
        <v>0</v>
      </c>
      <c r="F504" s="60">
        <f t="shared" si="387"/>
        <v>34176000</v>
      </c>
      <c r="G504" s="60">
        <f t="shared" ref="G504:I504" si="412">SUM(G505:G505)</f>
        <v>21120000</v>
      </c>
      <c r="H504" s="60">
        <f t="shared" si="412"/>
        <v>0</v>
      </c>
      <c r="I504" s="60">
        <f t="shared" si="412"/>
        <v>0</v>
      </c>
      <c r="J504" s="60">
        <f t="shared" si="377"/>
        <v>21120000</v>
      </c>
      <c r="K504" s="60">
        <f t="shared" si="411"/>
        <v>0</v>
      </c>
      <c r="L504" s="60">
        <f t="shared" si="411"/>
        <v>0</v>
      </c>
      <c r="M504" s="60">
        <f t="shared" si="411"/>
        <v>0</v>
      </c>
      <c r="N504" s="60">
        <f t="shared" si="380"/>
        <v>0</v>
      </c>
      <c r="O504" s="60">
        <f t="shared" si="346"/>
        <v>21120000</v>
      </c>
      <c r="P504" s="60">
        <f t="shared" si="347"/>
        <v>0</v>
      </c>
      <c r="Q504" s="60">
        <f t="shared" si="348"/>
        <v>0</v>
      </c>
      <c r="R504" s="60">
        <f t="shared" si="349"/>
        <v>21120000</v>
      </c>
      <c r="S504" s="84">
        <f t="shared" si="378"/>
        <v>61.797752808988761</v>
      </c>
      <c r="T504" s="84">
        <v>0</v>
      </c>
      <c r="U504" s="84">
        <v>0</v>
      </c>
      <c r="V504" s="84">
        <f t="shared" si="379"/>
        <v>61.797752808988761</v>
      </c>
      <c r="W504" s="60">
        <f t="shared" si="376"/>
        <v>13056000</v>
      </c>
      <c r="X504" s="247">
        <f t="shared" si="386"/>
        <v>21120000</v>
      </c>
      <c r="Y504" s="247">
        <f t="shared" si="384"/>
        <v>0</v>
      </c>
      <c r="Z504" s="247">
        <f t="shared" si="385"/>
        <v>0</v>
      </c>
      <c r="AA504" s="93"/>
    </row>
    <row r="505" spans="1:27">
      <c r="A505" s="97" t="s">
        <v>124</v>
      </c>
      <c r="B505" s="97" t="s">
        <v>125</v>
      </c>
      <c r="C505" s="98">
        <v>34176000</v>
      </c>
      <c r="D505" s="46">
        <v>0</v>
      </c>
      <c r="E505" s="46">
        <v>0</v>
      </c>
      <c r="F505" s="46">
        <f t="shared" si="387"/>
        <v>34176000</v>
      </c>
      <c r="G505" s="47">
        <v>21120000</v>
      </c>
      <c r="H505" s="47">
        <v>0</v>
      </c>
      <c r="I505" s="47">
        <v>0</v>
      </c>
      <c r="J505" s="47">
        <f t="shared" si="377"/>
        <v>21120000</v>
      </c>
      <c r="K505" s="47"/>
      <c r="L505" s="47"/>
      <c r="M505" s="47"/>
      <c r="N505" s="47">
        <f t="shared" si="380"/>
        <v>0</v>
      </c>
      <c r="O505" s="47">
        <f t="shared" si="346"/>
        <v>21120000</v>
      </c>
      <c r="P505" s="47">
        <f t="shared" si="347"/>
        <v>0</v>
      </c>
      <c r="Q505" s="47">
        <f t="shared" si="348"/>
        <v>0</v>
      </c>
      <c r="R505" s="47">
        <f t="shared" si="349"/>
        <v>21120000</v>
      </c>
      <c r="S505" s="79">
        <f t="shared" si="378"/>
        <v>61.797752808988761</v>
      </c>
      <c r="T505" s="79">
        <v>0</v>
      </c>
      <c r="U505" s="79">
        <v>0</v>
      </c>
      <c r="V505" s="79">
        <f t="shared" si="379"/>
        <v>61.797752808988761</v>
      </c>
      <c r="W505" s="47">
        <f t="shared" si="376"/>
        <v>13056000</v>
      </c>
      <c r="X505" s="247">
        <f t="shared" si="386"/>
        <v>21120000</v>
      </c>
      <c r="Y505" s="247">
        <f t="shared" si="384"/>
        <v>0</v>
      </c>
      <c r="Z505" s="247">
        <f t="shared" si="385"/>
        <v>0</v>
      </c>
      <c r="AA505" s="93"/>
    </row>
    <row r="506" spans="1:27" s="8" customFormat="1">
      <c r="A506" s="96" t="s">
        <v>126</v>
      </c>
      <c r="B506" s="96" t="s">
        <v>127</v>
      </c>
      <c r="C506" s="60">
        <f>SUM(C507:C508)</f>
        <v>21310600</v>
      </c>
      <c r="D506" s="60">
        <f>SUM(D507:D508)</f>
        <v>0</v>
      </c>
      <c r="E506" s="60">
        <f>SUM(E507:E508)</f>
        <v>0</v>
      </c>
      <c r="F506" s="60">
        <f t="shared" si="387"/>
        <v>21310600</v>
      </c>
      <c r="G506" s="60">
        <f t="shared" ref="G506:H506" si="413">SUM(G507:G508)</f>
        <v>16303056</v>
      </c>
      <c r="H506" s="60">
        <f t="shared" si="413"/>
        <v>0</v>
      </c>
      <c r="I506" s="60">
        <f>SUM(I507:I508)</f>
        <v>0</v>
      </c>
      <c r="J506" s="60">
        <f t="shared" si="377"/>
        <v>16303056</v>
      </c>
      <c r="K506" s="60">
        <f>SUM(K507:K508)</f>
        <v>0</v>
      </c>
      <c r="L506" s="60">
        <f t="shared" ref="L506" si="414">SUM(L507:L508)</f>
        <v>0</v>
      </c>
      <c r="M506" s="60">
        <f>SUM(M507:M508)</f>
        <v>0</v>
      </c>
      <c r="N506" s="60">
        <f t="shared" si="380"/>
        <v>0</v>
      </c>
      <c r="O506" s="60">
        <f t="shared" si="346"/>
        <v>16303056</v>
      </c>
      <c r="P506" s="60">
        <f t="shared" si="347"/>
        <v>0</v>
      </c>
      <c r="Q506" s="60">
        <f t="shared" si="348"/>
        <v>0</v>
      </c>
      <c r="R506" s="60">
        <f t="shared" si="349"/>
        <v>16303056</v>
      </c>
      <c r="S506" s="84">
        <f t="shared" si="378"/>
        <v>76.502097547699265</v>
      </c>
      <c r="T506" s="84">
        <v>0</v>
      </c>
      <c r="U506" s="84">
        <v>0</v>
      </c>
      <c r="V506" s="84">
        <f t="shared" si="379"/>
        <v>76.502097547699265</v>
      </c>
      <c r="W506" s="60">
        <f t="shared" si="376"/>
        <v>5007544</v>
      </c>
      <c r="X506" s="247">
        <f t="shared" si="386"/>
        <v>16303056</v>
      </c>
      <c r="Y506" s="247">
        <f t="shared" si="384"/>
        <v>0</v>
      </c>
      <c r="Z506" s="247">
        <f t="shared" si="385"/>
        <v>0</v>
      </c>
      <c r="AA506" s="93"/>
    </row>
    <row r="507" spans="1:27">
      <c r="A507" s="97" t="s">
        <v>123</v>
      </c>
      <c r="B507" s="97" t="s">
        <v>111</v>
      </c>
      <c r="C507" s="98">
        <v>160</v>
      </c>
      <c r="D507" s="46">
        <v>0</v>
      </c>
      <c r="E507" s="46">
        <v>0</v>
      </c>
      <c r="F507" s="46">
        <f t="shared" si="387"/>
        <v>160</v>
      </c>
      <c r="G507" s="47">
        <v>0</v>
      </c>
      <c r="H507" s="47">
        <v>0</v>
      </c>
      <c r="I507" s="47">
        <v>0</v>
      </c>
      <c r="J507" s="47">
        <f t="shared" si="377"/>
        <v>0</v>
      </c>
      <c r="K507" s="47"/>
      <c r="L507" s="47"/>
      <c r="M507" s="47"/>
      <c r="N507" s="47">
        <f t="shared" si="380"/>
        <v>0</v>
      </c>
      <c r="O507" s="47">
        <f t="shared" ref="O507:O570" si="415">K507+G507</f>
        <v>0</v>
      </c>
      <c r="P507" s="47">
        <f t="shared" ref="P507:P570" si="416">L507+H507</f>
        <v>0</v>
      </c>
      <c r="Q507" s="47">
        <f t="shared" ref="Q507:Q570" si="417">M507+I507</f>
        <v>0</v>
      </c>
      <c r="R507" s="47">
        <f t="shared" ref="R507:R570" si="418">SUM(O507:Q507)</f>
        <v>0</v>
      </c>
      <c r="S507" s="79">
        <f t="shared" si="378"/>
        <v>0</v>
      </c>
      <c r="T507" s="79">
        <v>0</v>
      </c>
      <c r="U507" s="79">
        <v>0</v>
      </c>
      <c r="V507" s="79">
        <f t="shared" si="379"/>
        <v>0</v>
      </c>
      <c r="W507" s="47">
        <f t="shared" si="376"/>
        <v>160</v>
      </c>
      <c r="X507" s="247">
        <f t="shared" si="386"/>
        <v>0</v>
      </c>
      <c r="Y507" s="247">
        <f t="shared" si="384"/>
        <v>0</v>
      </c>
      <c r="Z507" s="247">
        <f t="shared" si="385"/>
        <v>0</v>
      </c>
      <c r="AA507" s="93"/>
    </row>
    <row r="508" spans="1:27">
      <c r="A508" s="97" t="s">
        <v>128</v>
      </c>
      <c r="B508" s="97" t="s">
        <v>113</v>
      </c>
      <c r="C508" s="98">
        <v>21310440</v>
      </c>
      <c r="D508" s="46">
        <v>0</v>
      </c>
      <c r="E508" s="46">
        <v>0</v>
      </c>
      <c r="F508" s="46">
        <f t="shared" si="387"/>
        <v>21310440</v>
      </c>
      <c r="G508" s="47">
        <v>16303056</v>
      </c>
      <c r="H508" s="47">
        <v>0</v>
      </c>
      <c r="I508" s="47">
        <v>0</v>
      </c>
      <c r="J508" s="47">
        <f t="shared" si="377"/>
        <v>16303056</v>
      </c>
      <c r="K508" s="47"/>
      <c r="L508" s="47"/>
      <c r="M508" s="47"/>
      <c r="N508" s="47">
        <f t="shared" si="380"/>
        <v>0</v>
      </c>
      <c r="O508" s="47">
        <f t="shared" si="415"/>
        <v>16303056</v>
      </c>
      <c r="P508" s="47">
        <f t="shared" si="416"/>
        <v>0</v>
      </c>
      <c r="Q508" s="47">
        <f t="shared" si="417"/>
        <v>0</v>
      </c>
      <c r="R508" s="47">
        <f t="shared" si="418"/>
        <v>16303056</v>
      </c>
      <c r="S508" s="79">
        <f t="shared" si="378"/>
        <v>76.502671929814682</v>
      </c>
      <c r="T508" s="79">
        <v>0</v>
      </c>
      <c r="U508" s="79">
        <v>0</v>
      </c>
      <c r="V508" s="79">
        <f t="shared" si="379"/>
        <v>76.502671929814682</v>
      </c>
      <c r="W508" s="47">
        <f t="shared" si="376"/>
        <v>5007384</v>
      </c>
      <c r="X508" s="247">
        <f t="shared" si="386"/>
        <v>16303056</v>
      </c>
      <c r="Y508" s="247">
        <f t="shared" si="384"/>
        <v>0</v>
      </c>
      <c r="Z508" s="247">
        <f t="shared" si="385"/>
        <v>0</v>
      </c>
      <c r="AA508" s="93"/>
    </row>
    <row r="509" spans="1:27" s="8" customFormat="1">
      <c r="A509" s="96" t="s">
        <v>129</v>
      </c>
      <c r="B509" s="96" t="s">
        <v>130</v>
      </c>
      <c r="C509" s="60">
        <f>C510</f>
        <v>3878400</v>
      </c>
      <c r="D509" s="60">
        <f>D510</f>
        <v>0</v>
      </c>
      <c r="E509" s="60">
        <f>E510</f>
        <v>0</v>
      </c>
      <c r="F509" s="60">
        <f t="shared" si="387"/>
        <v>3878400</v>
      </c>
      <c r="G509" s="60">
        <f t="shared" ref="G509:I509" si="419">G510</f>
        <v>2261000</v>
      </c>
      <c r="H509" s="60">
        <f t="shared" si="419"/>
        <v>0</v>
      </c>
      <c r="I509" s="60">
        <f t="shared" si="419"/>
        <v>0</v>
      </c>
      <c r="J509" s="60">
        <f t="shared" si="377"/>
        <v>2261000</v>
      </c>
      <c r="K509" s="60">
        <f t="shared" ref="K509:M509" si="420">K510</f>
        <v>0</v>
      </c>
      <c r="L509" s="60">
        <f t="shared" si="420"/>
        <v>0</v>
      </c>
      <c r="M509" s="60">
        <f t="shared" si="420"/>
        <v>0</v>
      </c>
      <c r="N509" s="60">
        <f t="shared" si="380"/>
        <v>0</v>
      </c>
      <c r="O509" s="60">
        <f t="shared" si="415"/>
        <v>2261000</v>
      </c>
      <c r="P509" s="60">
        <f t="shared" si="416"/>
        <v>0</v>
      </c>
      <c r="Q509" s="60">
        <f t="shared" si="417"/>
        <v>0</v>
      </c>
      <c r="R509" s="60">
        <f t="shared" si="418"/>
        <v>2261000</v>
      </c>
      <c r="S509" s="84">
        <f t="shared" si="378"/>
        <v>58.29723597359736</v>
      </c>
      <c r="T509" s="84">
        <v>0</v>
      </c>
      <c r="U509" s="84">
        <v>0</v>
      </c>
      <c r="V509" s="84">
        <f t="shared" si="379"/>
        <v>58.29723597359736</v>
      </c>
      <c r="W509" s="60">
        <f t="shared" si="376"/>
        <v>1617400</v>
      </c>
      <c r="X509" s="247">
        <f t="shared" si="386"/>
        <v>2261000</v>
      </c>
      <c r="Y509" s="247">
        <f t="shared" si="384"/>
        <v>0</v>
      </c>
      <c r="Z509" s="247">
        <f t="shared" si="385"/>
        <v>0</v>
      </c>
      <c r="AA509" s="93"/>
    </row>
    <row r="510" spans="1:27">
      <c r="A510" s="44" t="s">
        <v>133</v>
      </c>
      <c r="B510" s="45" t="s">
        <v>134</v>
      </c>
      <c r="C510" s="46">
        <v>3878400</v>
      </c>
      <c r="D510" s="46">
        <v>0</v>
      </c>
      <c r="E510" s="46">
        <v>0</v>
      </c>
      <c r="F510" s="46">
        <f t="shared" si="387"/>
        <v>3878400</v>
      </c>
      <c r="G510" s="47">
        <v>2261000</v>
      </c>
      <c r="H510" s="47">
        <v>0</v>
      </c>
      <c r="I510" s="47">
        <v>0</v>
      </c>
      <c r="J510" s="47">
        <f t="shared" si="377"/>
        <v>2261000</v>
      </c>
      <c r="K510" s="47"/>
      <c r="L510" s="47"/>
      <c r="M510" s="47"/>
      <c r="N510" s="47">
        <f t="shared" si="380"/>
        <v>0</v>
      </c>
      <c r="O510" s="47">
        <f t="shared" si="415"/>
        <v>2261000</v>
      </c>
      <c r="P510" s="47">
        <f t="shared" si="416"/>
        <v>0</v>
      </c>
      <c r="Q510" s="47">
        <f t="shared" si="417"/>
        <v>0</v>
      </c>
      <c r="R510" s="47">
        <f t="shared" si="418"/>
        <v>2261000</v>
      </c>
      <c r="S510" s="79">
        <f t="shared" si="378"/>
        <v>58.29723597359736</v>
      </c>
      <c r="T510" s="79">
        <v>0</v>
      </c>
      <c r="U510" s="79">
        <v>0</v>
      </c>
      <c r="V510" s="79">
        <f t="shared" si="379"/>
        <v>58.29723597359736</v>
      </c>
      <c r="W510" s="47">
        <f t="shared" si="376"/>
        <v>1617400</v>
      </c>
      <c r="X510" s="247">
        <f t="shared" si="386"/>
        <v>2261000</v>
      </c>
      <c r="Y510" s="247">
        <f t="shared" si="384"/>
        <v>0</v>
      </c>
      <c r="Z510" s="247">
        <f t="shared" si="385"/>
        <v>0</v>
      </c>
      <c r="AA510" s="93"/>
    </row>
    <row r="511" spans="1:27" s="8" customFormat="1">
      <c r="A511" s="59" t="s">
        <v>316</v>
      </c>
      <c r="B511" s="59" t="s">
        <v>136</v>
      </c>
      <c r="C511" s="60">
        <f t="shared" ref="C511:M511" si="421">SUM(C512:C512)</f>
        <v>256800000</v>
      </c>
      <c r="D511" s="60">
        <f t="shared" si="421"/>
        <v>0</v>
      </c>
      <c r="E511" s="60">
        <f t="shared" si="421"/>
        <v>0</v>
      </c>
      <c r="F511" s="60">
        <f t="shared" si="387"/>
        <v>256800000</v>
      </c>
      <c r="G511" s="60">
        <f t="shared" ref="G511:I511" si="422">SUM(G512:G512)</f>
        <v>226878685</v>
      </c>
      <c r="H511" s="60">
        <f t="shared" si="422"/>
        <v>0</v>
      </c>
      <c r="I511" s="60">
        <f t="shared" si="422"/>
        <v>0</v>
      </c>
      <c r="J511" s="60">
        <f t="shared" si="377"/>
        <v>226878685</v>
      </c>
      <c r="K511" s="60">
        <f t="shared" si="421"/>
        <v>0</v>
      </c>
      <c r="L511" s="60">
        <f t="shared" si="421"/>
        <v>0</v>
      </c>
      <c r="M511" s="60">
        <f t="shared" si="421"/>
        <v>0</v>
      </c>
      <c r="N511" s="60">
        <f t="shared" si="380"/>
        <v>0</v>
      </c>
      <c r="O511" s="60">
        <f t="shared" si="415"/>
        <v>226878685</v>
      </c>
      <c r="P511" s="60">
        <f t="shared" si="416"/>
        <v>0</v>
      </c>
      <c r="Q511" s="60">
        <f t="shared" si="417"/>
        <v>0</v>
      </c>
      <c r="R511" s="60">
        <f t="shared" si="418"/>
        <v>226878685</v>
      </c>
      <c r="S511" s="84">
        <f t="shared" si="378"/>
        <v>88.348397585669787</v>
      </c>
      <c r="T511" s="84">
        <v>0</v>
      </c>
      <c r="U511" s="84">
        <v>0</v>
      </c>
      <c r="V511" s="84">
        <f t="shared" si="379"/>
        <v>88.348397585669787</v>
      </c>
      <c r="W511" s="60">
        <f t="shared" si="376"/>
        <v>29921315</v>
      </c>
      <c r="X511" s="247">
        <f t="shared" si="386"/>
        <v>226878685</v>
      </c>
      <c r="Y511" s="247">
        <f t="shared" si="384"/>
        <v>0</v>
      </c>
      <c r="Z511" s="247">
        <f t="shared" si="385"/>
        <v>0</v>
      </c>
      <c r="AA511" s="93"/>
    </row>
    <row r="512" spans="1:27">
      <c r="A512" s="97" t="s">
        <v>100</v>
      </c>
      <c r="B512" s="97" t="s">
        <v>101</v>
      </c>
      <c r="C512" s="98">
        <v>256800000</v>
      </c>
      <c r="D512" s="46">
        <v>0</v>
      </c>
      <c r="E512" s="46">
        <v>0</v>
      </c>
      <c r="F512" s="46">
        <f t="shared" si="387"/>
        <v>256800000</v>
      </c>
      <c r="G512" s="47">
        <v>226878685</v>
      </c>
      <c r="H512" s="47">
        <v>0</v>
      </c>
      <c r="I512" s="47">
        <v>0</v>
      </c>
      <c r="J512" s="47">
        <f t="shared" si="377"/>
        <v>226878685</v>
      </c>
      <c r="K512" s="47"/>
      <c r="L512" s="47"/>
      <c r="M512" s="47"/>
      <c r="N512" s="47">
        <f t="shared" si="380"/>
        <v>0</v>
      </c>
      <c r="O512" s="47">
        <f t="shared" si="415"/>
        <v>226878685</v>
      </c>
      <c r="P512" s="47">
        <f t="shared" si="416"/>
        <v>0</v>
      </c>
      <c r="Q512" s="47">
        <f t="shared" si="417"/>
        <v>0</v>
      </c>
      <c r="R512" s="47">
        <f t="shared" si="418"/>
        <v>226878685</v>
      </c>
      <c r="S512" s="79">
        <f t="shared" si="378"/>
        <v>88.348397585669787</v>
      </c>
      <c r="T512" s="79">
        <v>0</v>
      </c>
      <c r="U512" s="79">
        <v>0</v>
      </c>
      <c r="V512" s="79">
        <f t="shared" si="379"/>
        <v>88.348397585669787</v>
      </c>
      <c r="W512" s="47">
        <f t="shared" si="376"/>
        <v>29921315</v>
      </c>
      <c r="X512" s="247">
        <f t="shared" si="386"/>
        <v>226878685</v>
      </c>
      <c r="Y512" s="247">
        <f t="shared" si="384"/>
        <v>0</v>
      </c>
      <c r="Z512" s="247">
        <f t="shared" si="385"/>
        <v>0</v>
      </c>
      <c r="AA512" s="93"/>
    </row>
    <row r="513" spans="1:27" s="6" customFormat="1" ht="17.25" customHeight="1">
      <c r="A513" s="38" t="s">
        <v>141</v>
      </c>
      <c r="B513" s="137" t="s">
        <v>142</v>
      </c>
      <c r="C513" s="62">
        <f>C516+C514</f>
        <v>374007614</v>
      </c>
      <c r="D513" s="62">
        <f t="shared" ref="D513:E513" si="423">D516+D514</f>
        <v>0</v>
      </c>
      <c r="E513" s="62">
        <f t="shared" si="423"/>
        <v>0</v>
      </c>
      <c r="F513" s="62">
        <f t="shared" si="387"/>
        <v>374007614</v>
      </c>
      <c r="G513" s="62">
        <f>G514+G516</f>
        <v>370198000</v>
      </c>
      <c r="H513" s="62">
        <f t="shared" ref="H513:I513" si="424">H514+H516</f>
        <v>0</v>
      </c>
      <c r="I513" s="62">
        <f t="shared" si="424"/>
        <v>0</v>
      </c>
      <c r="J513" s="62">
        <f t="shared" si="377"/>
        <v>370198000</v>
      </c>
      <c r="K513" s="62">
        <f>K514</f>
        <v>0</v>
      </c>
      <c r="L513" s="62">
        <f t="shared" ref="L513:M513" si="425">L516</f>
        <v>0</v>
      </c>
      <c r="M513" s="62">
        <f t="shared" si="425"/>
        <v>0</v>
      </c>
      <c r="N513" s="62">
        <f t="shared" si="380"/>
        <v>0</v>
      </c>
      <c r="O513" s="62">
        <f t="shared" si="415"/>
        <v>370198000</v>
      </c>
      <c r="P513" s="62">
        <f t="shared" si="416"/>
        <v>0</v>
      </c>
      <c r="Q513" s="62">
        <f t="shared" si="417"/>
        <v>0</v>
      </c>
      <c r="R513" s="62">
        <f t="shared" si="418"/>
        <v>370198000</v>
      </c>
      <c r="S513" s="85">
        <f t="shared" si="378"/>
        <v>98.981407367818989</v>
      </c>
      <c r="T513" s="85">
        <v>0</v>
      </c>
      <c r="U513" s="85">
        <v>0</v>
      </c>
      <c r="V513" s="85">
        <f t="shared" si="379"/>
        <v>98.981407367818989</v>
      </c>
      <c r="W513" s="62">
        <f t="shared" si="376"/>
        <v>3809614</v>
      </c>
      <c r="X513" s="247">
        <f t="shared" si="386"/>
        <v>370198000</v>
      </c>
      <c r="Y513" s="247">
        <f t="shared" si="384"/>
        <v>0</v>
      </c>
      <c r="Z513" s="247">
        <f t="shared" si="385"/>
        <v>0</v>
      </c>
      <c r="AA513" s="93"/>
    </row>
    <row r="514" spans="1:27" s="5" customFormat="1">
      <c r="A514" s="96" t="s">
        <v>340</v>
      </c>
      <c r="B514" s="96" t="s">
        <v>341</v>
      </c>
      <c r="C514" s="60">
        <f>SUM(C515:C515)</f>
        <v>164626560</v>
      </c>
      <c r="D514" s="60">
        <f>SUM(D515:D515)</f>
        <v>0</v>
      </c>
      <c r="E514" s="60">
        <f>SUM(E515:E515)</f>
        <v>0</v>
      </c>
      <c r="F514" s="60">
        <f t="shared" si="387"/>
        <v>164626560</v>
      </c>
      <c r="G514" s="60">
        <f t="shared" ref="G514:I514" si="426">SUM(G515:G515)</f>
        <v>164098000</v>
      </c>
      <c r="H514" s="60">
        <f t="shared" si="426"/>
        <v>0</v>
      </c>
      <c r="I514" s="60">
        <f t="shared" si="426"/>
        <v>0</v>
      </c>
      <c r="J514" s="60">
        <f t="shared" si="377"/>
        <v>164098000</v>
      </c>
      <c r="K514" s="60">
        <f t="shared" ref="K514:M514" si="427">SUM(K515:K515)</f>
        <v>0</v>
      </c>
      <c r="L514" s="60">
        <f t="shared" si="427"/>
        <v>0</v>
      </c>
      <c r="M514" s="60">
        <f t="shared" si="427"/>
        <v>0</v>
      </c>
      <c r="N514" s="60">
        <f t="shared" si="380"/>
        <v>0</v>
      </c>
      <c r="O514" s="60">
        <f t="shared" si="415"/>
        <v>164098000</v>
      </c>
      <c r="P514" s="60">
        <f t="shared" si="416"/>
        <v>0</v>
      </c>
      <c r="Q514" s="60">
        <f t="shared" si="417"/>
        <v>0</v>
      </c>
      <c r="R514" s="60">
        <f t="shared" si="418"/>
        <v>164098000</v>
      </c>
      <c r="S514" s="84">
        <f t="shared" si="378"/>
        <v>99.678933946016969</v>
      </c>
      <c r="T514" s="84">
        <v>0</v>
      </c>
      <c r="U514" s="84">
        <v>0</v>
      </c>
      <c r="V514" s="84">
        <f t="shared" si="379"/>
        <v>99.678933946016969</v>
      </c>
      <c r="W514" s="60">
        <f t="shared" si="376"/>
        <v>528560</v>
      </c>
      <c r="X514" s="247">
        <f t="shared" si="386"/>
        <v>164098000</v>
      </c>
      <c r="Y514" s="247">
        <f t="shared" si="384"/>
        <v>0</v>
      </c>
      <c r="Z514" s="247">
        <f t="shared" si="385"/>
        <v>0</v>
      </c>
      <c r="AA514" s="93"/>
    </row>
    <row r="515" spans="1:27">
      <c r="A515" s="97" t="s">
        <v>381</v>
      </c>
      <c r="B515" s="97" t="s">
        <v>212</v>
      </c>
      <c r="C515" s="98">
        <v>164626560</v>
      </c>
      <c r="D515" s="46">
        <v>0</v>
      </c>
      <c r="E515" s="46">
        <v>0</v>
      </c>
      <c r="F515" s="46">
        <f t="shared" si="387"/>
        <v>164626560</v>
      </c>
      <c r="G515" s="47">
        <v>164098000</v>
      </c>
      <c r="H515" s="47">
        <v>0</v>
      </c>
      <c r="I515" s="47">
        <v>0</v>
      </c>
      <c r="J515" s="47">
        <f t="shared" si="377"/>
        <v>164098000</v>
      </c>
      <c r="K515" s="47"/>
      <c r="L515" s="47"/>
      <c r="M515" s="47"/>
      <c r="N515" s="47">
        <f t="shared" si="380"/>
        <v>0</v>
      </c>
      <c r="O515" s="47">
        <f t="shared" si="415"/>
        <v>164098000</v>
      </c>
      <c r="P515" s="47">
        <f t="shared" si="416"/>
        <v>0</v>
      </c>
      <c r="Q515" s="47">
        <f t="shared" si="417"/>
        <v>0</v>
      </c>
      <c r="R515" s="47">
        <f t="shared" si="418"/>
        <v>164098000</v>
      </c>
      <c r="S515" s="79">
        <f t="shared" si="378"/>
        <v>99.678933946016969</v>
      </c>
      <c r="T515" s="79">
        <v>0</v>
      </c>
      <c r="U515" s="79">
        <v>0</v>
      </c>
      <c r="V515" s="79">
        <f t="shared" si="379"/>
        <v>99.678933946016969</v>
      </c>
      <c r="W515" s="47">
        <f t="shared" si="376"/>
        <v>528560</v>
      </c>
      <c r="X515" s="247">
        <f t="shared" si="386"/>
        <v>164098000</v>
      </c>
      <c r="Y515" s="247">
        <f t="shared" si="384"/>
        <v>0</v>
      </c>
      <c r="Z515" s="247">
        <f t="shared" si="385"/>
        <v>0</v>
      </c>
      <c r="AA515" s="93"/>
    </row>
    <row r="516" spans="1:27" s="5" customFormat="1">
      <c r="A516" s="96" t="s">
        <v>147</v>
      </c>
      <c r="B516" s="96" t="s">
        <v>148</v>
      </c>
      <c r="C516" s="60">
        <f>SUM(C517:C523)</f>
        <v>209381054</v>
      </c>
      <c r="D516" s="60">
        <f>SUM(D517:D523)</f>
        <v>0</v>
      </c>
      <c r="E516" s="60">
        <f>SUM(E517:E523)</f>
        <v>0</v>
      </c>
      <c r="F516" s="60">
        <f t="shared" si="387"/>
        <v>209381054</v>
      </c>
      <c r="G516" s="60">
        <f t="shared" ref="G516:I516" si="428">SUM(G517:G523)</f>
        <v>206100000</v>
      </c>
      <c r="H516" s="60">
        <f t="shared" si="428"/>
        <v>0</v>
      </c>
      <c r="I516" s="60">
        <f t="shared" si="428"/>
        <v>0</v>
      </c>
      <c r="J516" s="60">
        <f t="shared" si="377"/>
        <v>206100000</v>
      </c>
      <c r="K516" s="60">
        <f t="shared" ref="K516:M516" si="429">SUM(K517:K523)</f>
        <v>0</v>
      </c>
      <c r="L516" s="60">
        <f t="shared" si="429"/>
        <v>0</v>
      </c>
      <c r="M516" s="60">
        <f t="shared" si="429"/>
        <v>0</v>
      </c>
      <c r="N516" s="60">
        <f t="shared" si="380"/>
        <v>0</v>
      </c>
      <c r="O516" s="60">
        <f t="shared" si="415"/>
        <v>206100000</v>
      </c>
      <c r="P516" s="60">
        <f t="shared" si="416"/>
        <v>0</v>
      </c>
      <c r="Q516" s="60">
        <f t="shared" si="417"/>
        <v>0</v>
      </c>
      <c r="R516" s="60">
        <f t="shared" si="418"/>
        <v>206100000</v>
      </c>
      <c r="S516" s="84">
        <f t="shared" si="378"/>
        <v>98.432974742786428</v>
      </c>
      <c r="T516" s="84">
        <v>0</v>
      </c>
      <c r="U516" s="84">
        <v>0</v>
      </c>
      <c r="V516" s="84">
        <f t="shared" si="379"/>
        <v>98.432974742786428</v>
      </c>
      <c r="W516" s="60">
        <f t="shared" si="376"/>
        <v>3281054</v>
      </c>
      <c r="X516" s="247">
        <f t="shared" si="386"/>
        <v>206100000</v>
      </c>
      <c r="Y516" s="247">
        <f t="shared" si="384"/>
        <v>0</v>
      </c>
      <c r="Z516" s="247">
        <f t="shared" si="385"/>
        <v>0</v>
      </c>
      <c r="AA516" s="93"/>
    </row>
    <row r="517" spans="1:27" ht="33">
      <c r="A517" s="97" t="s">
        <v>114</v>
      </c>
      <c r="B517" s="97" t="s">
        <v>485</v>
      </c>
      <c r="C517" s="98">
        <v>2001600</v>
      </c>
      <c r="D517" s="46">
        <v>0</v>
      </c>
      <c r="E517" s="46">
        <v>0</v>
      </c>
      <c r="F517" s="46">
        <f t="shared" si="387"/>
        <v>2001600</v>
      </c>
      <c r="G517" s="47">
        <v>2000000</v>
      </c>
      <c r="H517" s="47"/>
      <c r="I517" s="47"/>
      <c r="J517" s="47">
        <f t="shared" si="377"/>
        <v>2000000</v>
      </c>
      <c r="K517" s="47"/>
      <c r="L517" s="47"/>
      <c r="M517" s="47"/>
      <c r="N517" s="47">
        <f t="shared" si="380"/>
        <v>0</v>
      </c>
      <c r="O517" s="47">
        <f t="shared" si="415"/>
        <v>2000000</v>
      </c>
      <c r="P517" s="47">
        <f t="shared" si="416"/>
        <v>0</v>
      </c>
      <c r="Q517" s="47">
        <f t="shared" si="417"/>
        <v>0</v>
      </c>
      <c r="R517" s="47">
        <f t="shared" si="418"/>
        <v>2000000</v>
      </c>
      <c r="S517" s="79">
        <f t="shared" si="378"/>
        <v>99.920063948840934</v>
      </c>
      <c r="T517" s="79">
        <v>0</v>
      </c>
      <c r="U517" s="79">
        <v>0</v>
      </c>
      <c r="V517" s="79">
        <f t="shared" si="379"/>
        <v>99.920063948840934</v>
      </c>
      <c r="W517" s="47">
        <f t="shared" si="376"/>
        <v>1600</v>
      </c>
      <c r="X517" s="247">
        <f t="shared" si="386"/>
        <v>2000000</v>
      </c>
      <c r="Y517" s="247">
        <f t="shared" si="384"/>
        <v>0</v>
      </c>
      <c r="Z517" s="247">
        <f t="shared" si="385"/>
        <v>0</v>
      </c>
      <c r="AA517" s="93"/>
    </row>
    <row r="518" spans="1:27">
      <c r="A518" s="97" t="s">
        <v>413</v>
      </c>
      <c r="B518" s="97" t="s">
        <v>414</v>
      </c>
      <c r="C518" s="98">
        <v>6847800</v>
      </c>
      <c r="D518" s="46">
        <v>0</v>
      </c>
      <c r="E518" s="46">
        <v>0</v>
      </c>
      <c r="F518" s="46">
        <f t="shared" si="387"/>
        <v>6847800</v>
      </c>
      <c r="G518" s="144">
        <v>6600000</v>
      </c>
      <c r="H518" s="47"/>
      <c r="I518" s="47"/>
      <c r="J518" s="47">
        <f t="shared" si="377"/>
        <v>6600000</v>
      </c>
      <c r="K518" s="47"/>
      <c r="L518" s="47"/>
      <c r="M518" s="47"/>
      <c r="N518" s="47">
        <f t="shared" si="380"/>
        <v>0</v>
      </c>
      <c r="O518" s="47">
        <f t="shared" si="415"/>
        <v>6600000</v>
      </c>
      <c r="P518" s="47">
        <f t="shared" si="416"/>
        <v>0</v>
      </c>
      <c r="Q518" s="47">
        <f t="shared" si="417"/>
        <v>0</v>
      </c>
      <c r="R518" s="47">
        <f t="shared" si="418"/>
        <v>6600000</v>
      </c>
      <c r="S518" s="79">
        <f t="shared" si="378"/>
        <v>96.38131954788399</v>
      </c>
      <c r="T518" s="79">
        <v>0</v>
      </c>
      <c r="U518" s="79">
        <v>0</v>
      </c>
      <c r="V518" s="79">
        <f t="shared" si="379"/>
        <v>96.38131954788399</v>
      </c>
      <c r="W518" s="47">
        <f t="shared" si="376"/>
        <v>247800</v>
      </c>
      <c r="X518" s="247">
        <f t="shared" si="386"/>
        <v>6600000</v>
      </c>
      <c r="Y518" s="247">
        <f t="shared" si="384"/>
        <v>0</v>
      </c>
      <c r="Z518" s="247">
        <f t="shared" si="385"/>
        <v>0</v>
      </c>
      <c r="AA518" s="93"/>
    </row>
    <row r="519" spans="1:27">
      <c r="A519" s="97" t="s">
        <v>151</v>
      </c>
      <c r="B519" s="97" t="s">
        <v>415</v>
      </c>
      <c r="C519" s="98">
        <v>11926000</v>
      </c>
      <c r="D519" s="46">
        <v>0</v>
      </c>
      <c r="E519" s="46">
        <v>0</v>
      </c>
      <c r="F519" s="46">
        <f t="shared" si="387"/>
        <v>11926000</v>
      </c>
      <c r="G519" s="47">
        <v>11500000</v>
      </c>
      <c r="H519" s="47"/>
      <c r="I519" s="47"/>
      <c r="J519" s="47">
        <f t="shared" si="377"/>
        <v>11500000</v>
      </c>
      <c r="K519" s="47"/>
      <c r="L519" s="47"/>
      <c r="M519" s="47"/>
      <c r="N519" s="47">
        <f t="shared" si="380"/>
        <v>0</v>
      </c>
      <c r="O519" s="47">
        <f t="shared" si="415"/>
        <v>11500000</v>
      </c>
      <c r="P519" s="47">
        <f t="shared" si="416"/>
        <v>0</v>
      </c>
      <c r="Q519" s="47">
        <f t="shared" si="417"/>
        <v>0</v>
      </c>
      <c r="R519" s="47">
        <f t="shared" si="418"/>
        <v>11500000</v>
      </c>
      <c r="S519" s="79">
        <f t="shared" si="378"/>
        <v>96.427972497065241</v>
      </c>
      <c r="T519" s="79">
        <v>0</v>
      </c>
      <c r="U519" s="79">
        <v>0</v>
      </c>
      <c r="V519" s="79">
        <f t="shared" si="379"/>
        <v>96.427972497065241</v>
      </c>
      <c r="W519" s="47">
        <f t="shared" si="376"/>
        <v>426000</v>
      </c>
      <c r="X519" s="247">
        <f t="shared" si="386"/>
        <v>11500000</v>
      </c>
      <c r="Y519" s="247">
        <f t="shared" si="384"/>
        <v>0</v>
      </c>
      <c r="Z519" s="247">
        <f t="shared" si="385"/>
        <v>0</v>
      </c>
      <c r="AA519" s="93"/>
    </row>
    <row r="520" spans="1:27">
      <c r="A520" s="97" t="s">
        <v>486</v>
      </c>
      <c r="B520" s="97" t="s">
        <v>487</v>
      </c>
      <c r="C520" s="98">
        <v>2501954</v>
      </c>
      <c r="D520" s="46">
        <v>0</v>
      </c>
      <c r="E520" s="46">
        <v>0</v>
      </c>
      <c r="F520" s="46">
        <f t="shared" si="387"/>
        <v>2501954</v>
      </c>
      <c r="G520" s="48">
        <v>2400000</v>
      </c>
      <c r="H520" s="47"/>
      <c r="I520" s="47"/>
      <c r="J520" s="47">
        <f t="shared" si="377"/>
        <v>2400000</v>
      </c>
      <c r="K520" s="47"/>
      <c r="L520" s="47"/>
      <c r="M520" s="47"/>
      <c r="N520" s="47">
        <f t="shared" si="380"/>
        <v>0</v>
      </c>
      <c r="O520" s="47">
        <f t="shared" si="415"/>
        <v>2400000</v>
      </c>
      <c r="P520" s="47">
        <f t="shared" si="416"/>
        <v>0</v>
      </c>
      <c r="Q520" s="47">
        <f t="shared" si="417"/>
        <v>0</v>
      </c>
      <c r="R520" s="47">
        <f t="shared" si="418"/>
        <v>2400000</v>
      </c>
      <c r="S520" s="79">
        <f t="shared" si="378"/>
        <v>95.925025000459641</v>
      </c>
      <c r="T520" s="79">
        <v>0</v>
      </c>
      <c r="U520" s="79">
        <v>0</v>
      </c>
      <c r="V520" s="79">
        <f t="shared" si="379"/>
        <v>95.925025000459641</v>
      </c>
      <c r="W520" s="47">
        <f t="shared" si="376"/>
        <v>101954</v>
      </c>
      <c r="X520" s="247">
        <f t="shared" si="386"/>
        <v>2400000</v>
      </c>
      <c r="Y520" s="247">
        <f t="shared" si="384"/>
        <v>0</v>
      </c>
      <c r="Z520" s="247">
        <f t="shared" si="385"/>
        <v>0</v>
      </c>
      <c r="AA520" s="93"/>
    </row>
    <row r="521" spans="1:27">
      <c r="A521" s="97" t="s">
        <v>474</v>
      </c>
      <c r="B521" s="97" t="s">
        <v>475</v>
      </c>
      <c r="C521" s="98">
        <v>9823500</v>
      </c>
      <c r="D521" s="46">
        <v>0</v>
      </c>
      <c r="E521" s="46">
        <v>0</v>
      </c>
      <c r="F521" s="46">
        <f t="shared" si="387"/>
        <v>9823500</v>
      </c>
      <c r="G521" s="48">
        <v>9600000</v>
      </c>
      <c r="H521" s="47"/>
      <c r="I521" s="47"/>
      <c r="J521" s="47">
        <f t="shared" si="377"/>
        <v>9600000</v>
      </c>
      <c r="K521" s="47"/>
      <c r="L521" s="47"/>
      <c r="M521" s="47"/>
      <c r="N521" s="47">
        <f t="shared" si="380"/>
        <v>0</v>
      </c>
      <c r="O521" s="47">
        <f t="shared" si="415"/>
        <v>9600000</v>
      </c>
      <c r="P521" s="47">
        <f t="shared" si="416"/>
        <v>0</v>
      </c>
      <c r="Q521" s="47">
        <f t="shared" si="417"/>
        <v>0</v>
      </c>
      <c r="R521" s="47">
        <f t="shared" si="418"/>
        <v>9600000</v>
      </c>
      <c r="S521" s="79">
        <f t="shared" si="378"/>
        <v>97.724843487555361</v>
      </c>
      <c r="T521" s="79">
        <v>0</v>
      </c>
      <c r="U521" s="79">
        <v>0</v>
      </c>
      <c r="V521" s="79">
        <f t="shared" si="379"/>
        <v>97.724843487555361</v>
      </c>
      <c r="W521" s="47">
        <f t="shared" si="376"/>
        <v>223500</v>
      </c>
      <c r="X521" s="247">
        <f t="shared" si="386"/>
        <v>9600000</v>
      </c>
      <c r="Y521" s="247">
        <f t="shared" si="384"/>
        <v>0</v>
      </c>
      <c r="Z521" s="247">
        <f t="shared" si="385"/>
        <v>0</v>
      </c>
      <c r="AA521" s="93"/>
    </row>
    <row r="522" spans="1:27">
      <c r="A522" s="97" t="s">
        <v>421</v>
      </c>
      <c r="B522" s="97" t="s">
        <v>164</v>
      </c>
      <c r="C522" s="98">
        <v>125199000</v>
      </c>
      <c r="D522" s="46">
        <v>0</v>
      </c>
      <c r="E522" s="46">
        <v>0</v>
      </c>
      <c r="F522" s="46">
        <f t="shared" si="387"/>
        <v>125199000</v>
      </c>
      <c r="G522" s="48">
        <v>123900000</v>
      </c>
      <c r="H522" s="47"/>
      <c r="I522" s="47"/>
      <c r="J522" s="47">
        <f t="shared" si="377"/>
        <v>123900000</v>
      </c>
      <c r="K522" s="47"/>
      <c r="L522" s="47"/>
      <c r="M522" s="47"/>
      <c r="N522" s="47">
        <f t="shared" si="380"/>
        <v>0</v>
      </c>
      <c r="O522" s="47">
        <f t="shared" si="415"/>
        <v>123900000</v>
      </c>
      <c r="P522" s="47">
        <f t="shared" si="416"/>
        <v>0</v>
      </c>
      <c r="Q522" s="47">
        <f t="shared" si="417"/>
        <v>0</v>
      </c>
      <c r="R522" s="47">
        <f t="shared" si="418"/>
        <v>123900000</v>
      </c>
      <c r="S522" s="79">
        <f t="shared" si="378"/>
        <v>98.962451776771374</v>
      </c>
      <c r="T522" s="79">
        <v>0</v>
      </c>
      <c r="U522" s="79">
        <v>0</v>
      </c>
      <c r="V522" s="79">
        <f t="shared" si="379"/>
        <v>98.962451776771374</v>
      </c>
      <c r="W522" s="47">
        <f t="shared" si="376"/>
        <v>1299000</v>
      </c>
      <c r="X522" s="247">
        <f t="shared" si="386"/>
        <v>123900000</v>
      </c>
      <c r="Y522" s="247">
        <f t="shared" si="384"/>
        <v>0</v>
      </c>
      <c r="Z522" s="247">
        <f t="shared" si="385"/>
        <v>0</v>
      </c>
      <c r="AA522" s="93"/>
    </row>
    <row r="523" spans="1:27">
      <c r="A523" s="97" t="s">
        <v>379</v>
      </c>
      <c r="B523" s="97" t="s">
        <v>380</v>
      </c>
      <c r="C523" s="98">
        <v>51081200</v>
      </c>
      <c r="D523" s="46">
        <v>0</v>
      </c>
      <c r="E523" s="46">
        <v>0</v>
      </c>
      <c r="F523" s="46">
        <f t="shared" si="387"/>
        <v>51081200</v>
      </c>
      <c r="G523" s="48">
        <v>50100000</v>
      </c>
      <c r="H523" s="47"/>
      <c r="I523" s="47"/>
      <c r="J523" s="47">
        <f t="shared" si="377"/>
        <v>50100000</v>
      </c>
      <c r="K523" s="47"/>
      <c r="L523" s="47"/>
      <c r="M523" s="47"/>
      <c r="N523" s="47">
        <f t="shared" si="380"/>
        <v>0</v>
      </c>
      <c r="O523" s="47">
        <f t="shared" si="415"/>
        <v>50100000</v>
      </c>
      <c r="P523" s="47">
        <f t="shared" si="416"/>
        <v>0</v>
      </c>
      <c r="Q523" s="47">
        <f t="shared" si="417"/>
        <v>0</v>
      </c>
      <c r="R523" s="47">
        <f t="shared" si="418"/>
        <v>50100000</v>
      </c>
      <c r="S523" s="79">
        <f t="shared" si="378"/>
        <v>98.079136746983238</v>
      </c>
      <c r="T523" s="79">
        <v>0</v>
      </c>
      <c r="U523" s="79">
        <v>0</v>
      </c>
      <c r="V523" s="79">
        <f t="shared" si="379"/>
        <v>98.079136746983238</v>
      </c>
      <c r="W523" s="47">
        <f t="shared" si="376"/>
        <v>981200</v>
      </c>
      <c r="X523" s="247">
        <f t="shared" si="386"/>
        <v>50100000</v>
      </c>
      <c r="Y523" s="247">
        <f t="shared" si="384"/>
        <v>0</v>
      </c>
      <c r="Z523" s="247">
        <f t="shared" si="385"/>
        <v>0</v>
      </c>
      <c r="AA523" s="93"/>
    </row>
    <row r="524" spans="1:27" s="9" customFormat="1" ht="22.5" customHeight="1">
      <c r="A524" s="38" t="s">
        <v>169</v>
      </c>
      <c r="B524" s="61" t="s">
        <v>170</v>
      </c>
      <c r="C524" s="62">
        <f>C525+C527+C533+C535</f>
        <v>734265805</v>
      </c>
      <c r="D524" s="62">
        <f>D525+D527+D533+D535</f>
        <v>0</v>
      </c>
      <c r="E524" s="62">
        <f>E525+E527+E533+E535</f>
        <v>0</v>
      </c>
      <c r="F524" s="62">
        <f t="shared" si="387"/>
        <v>734265805</v>
      </c>
      <c r="G524" s="62">
        <f t="shared" ref="G524:H524" si="430">G525+G527+G533+G535</f>
        <v>420405854</v>
      </c>
      <c r="H524" s="62">
        <f t="shared" si="430"/>
        <v>0</v>
      </c>
      <c r="I524" s="62">
        <f>I525+I527+I533+I535</f>
        <v>0</v>
      </c>
      <c r="J524" s="62">
        <f t="shared" si="377"/>
        <v>420405854</v>
      </c>
      <c r="K524" s="62">
        <f t="shared" ref="K524:L524" si="431">K525+K527+K533+K535</f>
        <v>0</v>
      </c>
      <c r="L524" s="62">
        <f t="shared" si="431"/>
        <v>0</v>
      </c>
      <c r="M524" s="62">
        <f>M525+M527+M533+M535</f>
        <v>0</v>
      </c>
      <c r="N524" s="62">
        <f t="shared" si="380"/>
        <v>0</v>
      </c>
      <c r="O524" s="62">
        <f t="shared" si="415"/>
        <v>420405854</v>
      </c>
      <c r="P524" s="62">
        <f t="shared" si="416"/>
        <v>0</v>
      </c>
      <c r="Q524" s="62">
        <f t="shared" si="417"/>
        <v>0</v>
      </c>
      <c r="R524" s="62">
        <f t="shared" si="418"/>
        <v>420405854</v>
      </c>
      <c r="S524" s="85">
        <f t="shared" si="378"/>
        <v>57.255267933932998</v>
      </c>
      <c r="T524" s="85">
        <v>0</v>
      </c>
      <c r="U524" s="85">
        <v>0</v>
      </c>
      <c r="V524" s="85">
        <f t="shared" si="379"/>
        <v>57.255267933932998</v>
      </c>
      <c r="W524" s="62">
        <f t="shared" si="376"/>
        <v>313859951</v>
      </c>
      <c r="X524" s="247">
        <f t="shared" si="386"/>
        <v>420405854</v>
      </c>
      <c r="Y524" s="247">
        <f t="shared" si="384"/>
        <v>0</v>
      </c>
      <c r="Z524" s="247">
        <f t="shared" si="385"/>
        <v>0</v>
      </c>
      <c r="AA524" s="93"/>
    </row>
    <row r="525" spans="1:27" s="8" customFormat="1">
      <c r="A525" s="96" t="s">
        <v>171</v>
      </c>
      <c r="B525" s="96" t="s">
        <v>172</v>
      </c>
      <c r="C525" s="60">
        <f t="shared" ref="C525:M525" si="432">SUM(C526:C526)</f>
        <v>5200000</v>
      </c>
      <c r="D525" s="60">
        <f t="shared" si="432"/>
        <v>0</v>
      </c>
      <c r="E525" s="60">
        <f t="shared" si="432"/>
        <v>0</v>
      </c>
      <c r="F525" s="60">
        <f t="shared" si="387"/>
        <v>5200000</v>
      </c>
      <c r="G525" s="60">
        <f t="shared" ref="G525:I525" si="433">SUM(G526:G526)</f>
        <v>3900000</v>
      </c>
      <c r="H525" s="60">
        <f t="shared" si="433"/>
        <v>0</v>
      </c>
      <c r="I525" s="60">
        <f t="shared" si="433"/>
        <v>0</v>
      </c>
      <c r="J525" s="60">
        <f t="shared" si="377"/>
        <v>3900000</v>
      </c>
      <c r="K525" s="60">
        <f t="shared" si="432"/>
        <v>0</v>
      </c>
      <c r="L525" s="60">
        <f t="shared" si="432"/>
        <v>0</v>
      </c>
      <c r="M525" s="60">
        <f t="shared" si="432"/>
        <v>0</v>
      </c>
      <c r="N525" s="60">
        <f t="shared" si="380"/>
        <v>0</v>
      </c>
      <c r="O525" s="60">
        <f t="shared" si="415"/>
        <v>3900000</v>
      </c>
      <c r="P525" s="60">
        <f t="shared" si="416"/>
        <v>0</v>
      </c>
      <c r="Q525" s="60">
        <f t="shared" si="417"/>
        <v>0</v>
      </c>
      <c r="R525" s="60">
        <f t="shared" si="418"/>
        <v>3900000</v>
      </c>
      <c r="S525" s="84">
        <f t="shared" si="378"/>
        <v>75</v>
      </c>
      <c r="T525" s="84">
        <v>0</v>
      </c>
      <c r="U525" s="84">
        <v>0</v>
      </c>
      <c r="V525" s="84">
        <f t="shared" si="379"/>
        <v>75</v>
      </c>
      <c r="W525" s="60">
        <f t="shared" si="376"/>
        <v>1300000</v>
      </c>
      <c r="X525" s="247">
        <f t="shared" si="386"/>
        <v>3900000</v>
      </c>
      <c r="Y525" s="247">
        <f t="shared" si="384"/>
        <v>0</v>
      </c>
      <c r="Z525" s="247">
        <f t="shared" si="385"/>
        <v>0</v>
      </c>
      <c r="AA525" s="93"/>
    </row>
    <row r="526" spans="1:27">
      <c r="A526" s="97" t="s">
        <v>173</v>
      </c>
      <c r="B526" s="97" t="s">
        <v>174</v>
      </c>
      <c r="C526" s="98">
        <v>5200000</v>
      </c>
      <c r="D526" s="46">
        <v>0</v>
      </c>
      <c r="E526" s="46">
        <v>0</v>
      </c>
      <c r="F526" s="46">
        <f t="shared" si="387"/>
        <v>5200000</v>
      </c>
      <c r="G526" s="47">
        <v>3900000</v>
      </c>
      <c r="H526" s="47">
        <v>0</v>
      </c>
      <c r="I526" s="47">
        <v>0</v>
      </c>
      <c r="J526" s="47">
        <f t="shared" si="377"/>
        <v>3900000</v>
      </c>
      <c r="K526" s="47"/>
      <c r="L526" s="47"/>
      <c r="M526" s="47"/>
      <c r="N526" s="47">
        <f t="shared" si="380"/>
        <v>0</v>
      </c>
      <c r="O526" s="47">
        <f t="shared" si="415"/>
        <v>3900000</v>
      </c>
      <c r="P526" s="47">
        <f t="shared" si="416"/>
        <v>0</v>
      </c>
      <c r="Q526" s="47">
        <f t="shared" si="417"/>
        <v>0</v>
      </c>
      <c r="R526" s="47">
        <f t="shared" si="418"/>
        <v>3900000</v>
      </c>
      <c r="S526" s="79">
        <f t="shared" si="378"/>
        <v>75</v>
      </c>
      <c r="T526" s="79">
        <v>0</v>
      </c>
      <c r="U526" s="79">
        <v>0</v>
      </c>
      <c r="V526" s="79">
        <f t="shared" si="379"/>
        <v>75</v>
      </c>
      <c r="W526" s="47">
        <f t="shared" si="376"/>
        <v>1300000</v>
      </c>
      <c r="X526" s="247">
        <f t="shared" si="386"/>
        <v>3900000</v>
      </c>
      <c r="Y526" s="247">
        <f t="shared" si="384"/>
        <v>0</v>
      </c>
      <c r="Z526" s="247">
        <f t="shared" si="385"/>
        <v>0</v>
      </c>
      <c r="AA526" s="93"/>
    </row>
    <row r="527" spans="1:27" s="8" customFormat="1">
      <c r="A527" s="96" t="s">
        <v>175</v>
      </c>
      <c r="B527" s="96" t="s">
        <v>176</v>
      </c>
      <c r="C527" s="60">
        <f>SUM(C528:C532)</f>
        <v>183637005</v>
      </c>
      <c r="D527" s="60">
        <f>SUM(D529:D532)</f>
        <v>0</v>
      </c>
      <c r="E527" s="60">
        <f>SUM(E529:E532)</f>
        <v>0</v>
      </c>
      <c r="F527" s="60">
        <f t="shared" si="387"/>
        <v>183637005</v>
      </c>
      <c r="G527" s="60">
        <f t="shared" ref="G527:H527" si="434">SUM(G529:G532)</f>
        <v>104985854</v>
      </c>
      <c r="H527" s="60">
        <f t="shared" si="434"/>
        <v>0</v>
      </c>
      <c r="I527" s="60">
        <f>SUM(I529:I532)</f>
        <v>0</v>
      </c>
      <c r="J527" s="60">
        <f t="shared" si="377"/>
        <v>104985854</v>
      </c>
      <c r="K527" s="60">
        <f t="shared" ref="K527:L527" si="435">SUM(K529:K532)</f>
        <v>0</v>
      </c>
      <c r="L527" s="60">
        <f t="shared" si="435"/>
        <v>0</v>
      </c>
      <c r="M527" s="60">
        <f>SUM(M529:M532)</f>
        <v>0</v>
      </c>
      <c r="N527" s="60">
        <f t="shared" si="380"/>
        <v>0</v>
      </c>
      <c r="O527" s="60">
        <f t="shared" si="415"/>
        <v>104985854</v>
      </c>
      <c r="P527" s="60">
        <f t="shared" si="416"/>
        <v>0</v>
      </c>
      <c r="Q527" s="60">
        <f t="shared" si="417"/>
        <v>0</v>
      </c>
      <c r="R527" s="60">
        <f t="shared" si="418"/>
        <v>104985854</v>
      </c>
      <c r="S527" s="84">
        <f t="shared" si="378"/>
        <v>57.1703148828854</v>
      </c>
      <c r="T527" s="84">
        <v>0</v>
      </c>
      <c r="U527" s="84">
        <v>0</v>
      </c>
      <c r="V527" s="84">
        <f t="shared" si="379"/>
        <v>57.1703148828854</v>
      </c>
      <c r="W527" s="60">
        <f t="shared" si="376"/>
        <v>78651151</v>
      </c>
      <c r="X527" s="247">
        <f t="shared" si="386"/>
        <v>104985854</v>
      </c>
      <c r="Y527" s="247">
        <f t="shared" si="384"/>
        <v>0</v>
      </c>
      <c r="Z527" s="247">
        <f t="shared" si="385"/>
        <v>0</v>
      </c>
      <c r="AA527" s="93"/>
    </row>
    <row r="528" spans="1:27">
      <c r="A528" s="97" t="s">
        <v>488</v>
      </c>
      <c r="B528" s="97" t="s">
        <v>489</v>
      </c>
      <c r="C528" s="98">
        <v>6033405</v>
      </c>
      <c r="D528" s="46">
        <v>0</v>
      </c>
      <c r="E528" s="46">
        <v>0</v>
      </c>
      <c r="F528" s="46">
        <f t="shared" si="387"/>
        <v>6033405</v>
      </c>
      <c r="G528" s="47">
        <v>0</v>
      </c>
      <c r="H528" s="47">
        <v>0</v>
      </c>
      <c r="I528" s="47">
        <v>0</v>
      </c>
      <c r="J528" s="47">
        <f t="shared" si="377"/>
        <v>0</v>
      </c>
      <c r="K528" s="47"/>
      <c r="L528" s="47"/>
      <c r="M528" s="47"/>
      <c r="N528" s="47">
        <f t="shared" si="380"/>
        <v>0</v>
      </c>
      <c r="O528" s="47">
        <f t="shared" si="415"/>
        <v>0</v>
      </c>
      <c r="P528" s="47">
        <f t="shared" si="416"/>
        <v>0</v>
      </c>
      <c r="Q528" s="47">
        <f t="shared" si="417"/>
        <v>0</v>
      </c>
      <c r="R528" s="47">
        <f t="shared" si="418"/>
        <v>0</v>
      </c>
      <c r="S528" s="79">
        <f t="shared" si="378"/>
        <v>0</v>
      </c>
      <c r="T528" s="79">
        <v>0</v>
      </c>
      <c r="U528" s="79">
        <v>0</v>
      </c>
      <c r="V528" s="79">
        <f t="shared" si="379"/>
        <v>0</v>
      </c>
      <c r="W528" s="47">
        <f t="shared" si="376"/>
        <v>6033405</v>
      </c>
      <c r="X528" s="247">
        <f t="shared" si="386"/>
        <v>0</v>
      </c>
      <c r="Y528" s="247">
        <f t="shared" si="384"/>
        <v>0</v>
      </c>
      <c r="Z528" s="247">
        <f t="shared" si="385"/>
        <v>0</v>
      </c>
      <c r="AA528" s="93"/>
    </row>
    <row r="529" spans="1:27">
      <c r="A529" s="97" t="s">
        <v>177</v>
      </c>
      <c r="B529" s="97" t="s">
        <v>178</v>
      </c>
      <c r="C529" s="98">
        <v>1800000</v>
      </c>
      <c r="D529" s="46">
        <v>0</v>
      </c>
      <c r="E529" s="46">
        <v>0</v>
      </c>
      <c r="F529" s="46">
        <f t="shared" si="387"/>
        <v>1800000</v>
      </c>
      <c r="G529" s="47">
        <v>382736</v>
      </c>
      <c r="H529" s="47">
        <v>0</v>
      </c>
      <c r="I529" s="47">
        <v>0</v>
      </c>
      <c r="J529" s="47">
        <f t="shared" si="377"/>
        <v>382736</v>
      </c>
      <c r="K529" s="47"/>
      <c r="L529" s="47"/>
      <c r="M529" s="47"/>
      <c r="N529" s="47">
        <f t="shared" si="380"/>
        <v>0</v>
      </c>
      <c r="O529" s="47">
        <f t="shared" si="415"/>
        <v>382736</v>
      </c>
      <c r="P529" s="47">
        <f t="shared" si="416"/>
        <v>0</v>
      </c>
      <c r="Q529" s="47">
        <f t="shared" si="417"/>
        <v>0</v>
      </c>
      <c r="R529" s="47">
        <f t="shared" si="418"/>
        <v>382736</v>
      </c>
      <c r="S529" s="79">
        <f t="shared" si="378"/>
        <v>21.263111111111112</v>
      </c>
      <c r="T529" s="79">
        <v>0</v>
      </c>
      <c r="U529" s="79">
        <v>0</v>
      </c>
      <c r="V529" s="79">
        <f t="shared" si="379"/>
        <v>21.263111111111112</v>
      </c>
      <c r="W529" s="47">
        <f t="shared" si="376"/>
        <v>1417264</v>
      </c>
      <c r="X529" s="247">
        <f t="shared" si="386"/>
        <v>382736</v>
      </c>
      <c r="Y529" s="247">
        <f t="shared" si="384"/>
        <v>0</v>
      </c>
      <c r="Z529" s="247">
        <f t="shared" si="385"/>
        <v>0</v>
      </c>
      <c r="AA529" s="93"/>
    </row>
    <row r="530" spans="1:27" ht="18" customHeight="1">
      <c r="A530" s="97" t="s">
        <v>179</v>
      </c>
      <c r="B530" s="97" t="s">
        <v>180</v>
      </c>
      <c r="C530" s="98">
        <v>6120000</v>
      </c>
      <c r="D530" s="46">
        <v>0</v>
      </c>
      <c r="E530" s="46">
        <v>0</v>
      </c>
      <c r="F530" s="46">
        <f t="shared" si="387"/>
        <v>6120000</v>
      </c>
      <c r="G530" s="47">
        <v>4256503</v>
      </c>
      <c r="H530" s="47">
        <v>0</v>
      </c>
      <c r="I530" s="47">
        <v>0</v>
      </c>
      <c r="J530" s="47">
        <f t="shared" si="377"/>
        <v>4256503</v>
      </c>
      <c r="K530" s="47"/>
      <c r="L530" s="47"/>
      <c r="M530" s="47"/>
      <c r="N530" s="47">
        <f t="shared" si="380"/>
        <v>0</v>
      </c>
      <c r="O530" s="47">
        <f t="shared" si="415"/>
        <v>4256503</v>
      </c>
      <c r="P530" s="47">
        <f t="shared" si="416"/>
        <v>0</v>
      </c>
      <c r="Q530" s="47">
        <f t="shared" si="417"/>
        <v>0</v>
      </c>
      <c r="R530" s="47">
        <f t="shared" si="418"/>
        <v>4256503</v>
      </c>
      <c r="S530" s="79">
        <f t="shared" si="378"/>
        <v>69.550702614379091</v>
      </c>
      <c r="T530" s="79">
        <v>0</v>
      </c>
      <c r="U530" s="79">
        <v>0</v>
      </c>
      <c r="V530" s="79">
        <f t="shared" si="379"/>
        <v>69.550702614379091</v>
      </c>
      <c r="W530" s="47">
        <f t="shared" si="376"/>
        <v>1863497</v>
      </c>
      <c r="X530" s="247">
        <f t="shared" si="386"/>
        <v>4256503</v>
      </c>
      <c r="Y530" s="247">
        <f t="shared" si="384"/>
        <v>0</v>
      </c>
      <c r="Z530" s="247">
        <f t="shared" si="385"/>
        <v>0</v>
      </c>
      <c r="AA530" s="93"/>
    </row>
    <row r="531" spans="1:27">
      <c r="A531" s="97" t="s">
        <v>181</v>
      </c>
      <c r="B531" s="97" t="s">
        <v>182</v>
      </c>
      <c r="C531" s="98">
        <v>145340400</v>
      </c>
      <c r="D531" s="46">
        <v>0</v>
      </c>
      <c r="E531" s="46">
        <v>0</v>
      </c>
      <c r="F531" s="46">
        <f t="shared" si="387"/>
        <v>145340400</v>
      </c>
      <c r="G531" s="47">
        <v>86856349</v>
      </c>
      <c r="H531" s="47">
        <v>0</v>
      </c>
      <c r="I531" s="47">
        <v>0</v>
      </c>
      <c r="J531" s="47">
        <f t="shared" si="377"/>
        <v>86856349</v>
      </c>
      <c r="K531" s="47"/>
      <c r="L531" s="47"/>
      <c r="M531" s="47"/>
      <c r="N531" s="47">
        <f t="shared" si="380"/>
        <v>0</v>
      </c>
      <c r="O531" s="47">
        <f t="shared" si="415"/>
        <v>86856349</v>
      </c>
      <c r="P531" s="47">
        <f t="shared" si="416"/>
        <v>0</v>
      </c>
      <c r="Q531" s="47">
        <f t="shared" si="417"/>
        <v>0</v>
      </c>
      <c r="R531" s="47">
        <f t="shared" si="418"/>
        <v>86856349</v>
      </c>
      <c r="S531" s="79">
        <f t="shared" si="378"/>
        <v>59.760637097462229</v>
      </c>
      <c r="T531" s="79">
        <v>0</v>
      </c>
      <c r="U531" s="79">
        <v>0</v>
      </c>
      <c r="V531" s="79">
        <f t="shared" si="379"/>
        <v>59.760637097462229</v>
      </c>
      <c r="W531" s="47">
        <f t="shared" si="376"/>
        <v>58484051</v>
      </c>
      <c r="X531" s="247">
        <f t="shared" si="386"/>
        <v>86856349</v>
      </c>
      <c r="Y531" s="247">
        <f t="shared" si="384"/>
        <v>0</v>
      </c>
      <c r="Z531" s="247">
        <f t="shared" si="385"/>
        <v>0</v>
      </c>
      <c r="AA531" s="93"/>
    </row>
    <row r="532" spans="1:27">
      <c r="A532" s="97" t="s">
        <v>183</v>
      </c>
      <c r="B532" s="97" t="s">
        <v>184</v>
      </c>
      <c r="C532" s="98">
        <v>24343200</v>
      </c>
      <c r="D532" s="46">
        <v>0</v>
      </c>
      <c r="E532" s="46">
        <v>0</v>
      </c>
      <c r="F532" s="46">
        <f t="shared" si="387"/>
        <v>24343200</v>
      </c>
      <c r="G532" s="47">
        <v>13490266</v>
      </c>
      <c r="H532" s="47">
        <v>0</v>
      </c>
      <c r="I532" s="47">
        <v>0</v>
      </c>
      <c r="J532" s="47">
        <f t="shared" si="377"/>
        <v>13490266</v>
      </c>
      <c r="K532" s="47"/>
      <c r="L532" s="47"/>
      <c r="M532" s="47"/>
      <c r="N532" s="47">
        <f t="shared" si="380"/>
        <v>0</v>
      </c>
      <c r="O532" s="47">
        <f t="shared" si="415"/>
        <v>13490266</v>
      </c>
      <c r="P532" s="47">
        <f t="shared" si="416"/>
        <v>0</v>
      </c>
      <c r="Q532" s="47">
        <f t="shared" si="417"/>
        <v>0</v>
      </c>
      <c r="R532" s="47">
        <f t="shared" si="418"/>
        <v>13490266</v>
      </c>
      <c r="S532" s="79">
        <f t="shared" si="378"/>
        <v>55.416978868842229</v>
      </c>
      <c r="T532" s="79">
        <v>0</v>
      </c>
      <c r="U532" s="79">
        <v>0</v>
      </c>
      <c r="V532" s="79">
        <f t="shared" si="379"/>
        <v>55.416978868842229</v>
      </c>
      <c r="W532" s="47">
        <f t="shared" ref="W532:W595" si="436">F532-R532</f>
        <v>10852934</v>
      </c>
      <c r="X532" s="247">
        <f t="shared" si="386"/>
        <v>13490266</v>
      </c>
      <c r="Y532" s="247">
        <f t="shared" si="384"/>
        <v>0</v>
      </c>
      <c r="Z532" s="247">
        <f t="shared" si="385"/>
        <v>0</v>
      </c>
      <c r="AA532" s="93"/>
    </row>
    <row r="533" spans="1:27" s="8" customFormat="1">
      <c r="A533" s="96" t="s">
        <v>185</v>
      </c>
      <c r="B533" s="96" t="s">
        <v>186</v>
      </c>
      <c r="C533" s="100">
        <f>SUM(C534:C534)</f>
        <v>268886400</v>
      </c>
      <c r="D533" s="100">
        <f>SUM(D534:D534)</f>
        <v>0</v>
      </c>
      <c r="E533" s="100">
        <f>SUM(E534:E534)</f>
        <v>0</v>
      </c>
      <c r="F533" s="100">
        <f t="shared" si="387"/>
        <v>268886400</v>
      </c>
      <c r="G533" s="100">
        <f t="shared" ref="G533:I533" si="437">SUM(G534:G534)</f>
        <v>129120000</v>
      </c>
      <c r="H533" s="100">
        <f t="shared" si="437"/>
        <v>0</v>
      </c>
      <c r="I533" s="100">
        <f t="shared" si="437"/>
        <v>0</v>
      </c>
      <c r="J533" s="100">
        <f t="shared" ref="J533:J596" si="438">G533+H533+I533</f>
        <v>129120000</v>
      </c>
      <c r="K533" s="100">
        <f t="shared" ref="K533:M533" si="439">SUM(K534:K534)</f>
        <v>0</v>
      </c>
      <c r="L533" s="100">
        <f t="shared" si="439"/>
        <v>0</v>
      </c>
      <c r="M533" s="100">
        <f t="shared" si="439"/>
        <v>0</v>
      </c>
      <c r="N533" s="100">
        <f t="shared" si="380"/>
        <v>0</v>
      </c>
      <c r="O533" s="100">
        <f t="shared" si="415"/>
        <v>129120000</v>
      </c>
      <c r="P533" s="100">
        <f t="shared" si="416"/>
        <v>0</v>
      </c>
      <c r="Q533" s="100">
        <f t="shared" si="417"/>
        <v>0</v>
      </c>
      <c r="R533" s="100">
        <f t="shared" si="418"/>
        <v>129120000</v>
      </c>
      <c r="S533" s="103">
        <f t="shared" ref="S533:S596" si="440">O533/C533*100</f>
        <v>48.020279195972719</v>
      </c>
      <c r="T533" s="103">
        <v>0</v>
      </c>
      <c r="U533" s="103">
        <v>0</v>
      </c>
      <c r="V533" s="103">
        <f t="shared" ref="V533:V596" si="441">R533/F533*100</f>
        <v>48.020279195972719</v>
      </c>
      <c r="W533" s="100">
        <f t="shared" si="436"/>
        <v>139766400</v>
      </c>
      <c r="X533" s="247">
        <f t="shared" si="386"/>
        <v>129120000</v>
      </c>
      <c r="Y533" s="247">
        <f t="shared" si="384"/>
        <v>0</v>
      </c>
      <c r="Z533" s="247">
        <f t="shared" si="385"/>
        <v>0</v>
      </c>
      <c r="AA533" s="93"/>
    </row>
    <row r="534" spans="1:27">
      <c r="A534" s="97" t="s">
        <v>189</v>
      </c>
      <c r="B534" s="97" t="s">
        <v>190</v>
      </c>
      <c r="C534" s="98">
        <v>268886400</v>
      </c>
      <c r="D534" s="46">
        <v>0</v>
      </c>
      <c r="E534" s="46">
        <v>0</v>
      </c>
      <c r="F534" s="46">
        <f t="shared" si="387"/>
        <v>268886400</v>
      </c>
      <c r="G534" s="47">
        <v>129120000</v>
      </c>
      <c r="H534" s="47">
        <v>0</v>
      </c>
      <c r="I534" s="47">
        <v>0</v>
      </c>
      <c r="J534" s="47">
        <f t="shared" si="438"/>
        <v>129120000</v>
      </c>
      <c r="K534" s="47"/>
      <c r="L534" s="47"/>
      <c r="M534" s="47"/>
      <c r="N534" s="47">
        <f t="shared" ref="N534:N597" si="442">SUM(K534:M534)</f>
        <v>0</v>
      </c>
      <c r="O534" s="47">
        <f t="shared" si="415"/>
        <v>129120000</v>
      </c>
      <c r="P534" s="47">
        <f t="shared" si="416"/>
        <v>0</v>
      </c>
      <c r="Q534" s="47">
        <f t="shared" si="417"/>
        <v>0</v>
      </c>
      <c r="R534" s="47">
        <f t="shared" si="418"/>
        <v>129120000</v>
      </c>
      <c r="S534" s="79">
        <f t="shared" si="440"/>
        <v>48.020279195972719</v>
      </c>
      <c r="T534" s="79">
        <v>0</v>
      </c>
      <c r="U534" s="79">
        <v>0</v>
      </c>
      <c r="V534" s="79">
        <f t="shared" si="441"/>
        <v>48.020279195972719</v>
      </c>
      <c r="W534" s="47">
        <f t="shared" si="436"/>
        <v>139766400</v>
      </c>
      <c r="X534" s="247">
        <f t="shared" si="386"/>
        <v>129120000</v>
      </c>
      <c r="Y534" s="247">
        <f t="shared" si="384"/>
        <v>0</v>
      </c>
      <c r="Z534" s="247">
        <f t="shared" si="385"/>
        <v>0</v>
      </c>
      <c r="AA534" s="93"/>
    </row>
    <row r="535" spans="1:27" s="8" customFormat="1">
      <c r="A535" s="96" t="s">
        <v>191</v>
      </c>
      <c r="B535" s="96" t="s">
        <v>192</v>
      </c>
      <c r="C535" s="60">
        <f>SUM(C536:C536)</f>
        <v>276542400</v>
      </c>
      <c r="D535" s="60">
        <f>SUM(D536:D536)</f>
        <v>0</v>
      </c>
      <c r="E535" s="60">
        <f>SUM(E536:E536)</f>
        <v>0</v>
      </c>
      <c r="F535" s="60">
        <f t="shared" si="387"/>
        <v>276542400</v>
      </c>
      <c r="G535" s="60">
        <f t="shared" ref="G535:I535" si="443">SUM(G536:G536)</f>
        <v>182400000</v>
      </c>
      <c r="H535" s="60">
        <f t="shared" si="443"/>
        <v>0</v>
      </c>
      <c r="I535" s="60">
        <f t="shared" si="443"/>
        <v>0</v>
      </c>
      <c r="J535" s="60">
        <f t="shared" si="438"/>
        <v>182400000</v>
      </c>
      <c r="K535" s="60">
        <f t="shared" ref="K535:M535" si="444">SUM(K536:K536)</f>
        <v>0</v>
      </c>
      <c r="L535" s="60">
        <f t="shared" si="444"/>
        <v>0</v>
      </c>
      <c r="M535" s="60">
        <f t="shared" si="444"/>
        <v>0</v>
      </c>
      <c r="N535" s="60">
        <f t="shared" si="442"/>
        <v>0</v>
      </c>
      <c r="O535" s="60">
        <f t="shared" si="415"/>
        <v>182400000</v>
      </c>
      <c r="P535" s="60">
        <f t="shared" si="416"/>
        <v>0</v>
      </c>
      <c r="Q535" s="60">
        <f t="shared" si="417"/>
        <v>0</v>
      </c>
      <c r="R535" s="60">
        <f t="shared" si="418"/>
        <v>182400000</v>
      </c>
      <c r="S535" s="84">
        <f t="shared" si="440"/>
        <v>65.957336017912624</v>
      </c>
      <c r="T535" s="84">
        <v>0</v>
      </c>
      <c r="U535" s="84">
        <v>0</v>
      </c>
      <c r="V535" s="84">
        <f t="shared" si="441"/>
        <v>65.957336017912624</v>
      </c>
      <c r="W535" s="60">
        <f t="shared" si="436"/>
        <v>94142400</v>
      </c>
      <c r="X535" s="247">
        <f t="shared" si="386"/>
        <v>182400000</v>
      </c>
      <c r="Y535" s="247">
        <f t="shared" si="384"/>
        <v>0</v>
      </c>
      <c r="Z535" s="247">
        <f t="shared" si="385"/>
        <v>0</v>
      </c>
      <c r="AA535" s="93"/>
    </row>
    <row r="536" spans="1:27">
      <c r="A536" s="97" t="s">
        <v>476</v>
      </c>
      <c r="B536" s="97" t="s">
        <v>346</v>
      </c>
      <c r="C536" s="98">
        <v>276542400</v>
      </c>
      <c r="D536" s="46">
        <v>0</v>
      </c>
      <c r="E536" s="46">
        <v>0</v>
      </c>
      <c r="F536" s="46">
        <f t="shared" si="387"/>
        <v>276542400</v>
      </c>
      <c r="G536" s="47">
        <v>182400000</v>
      </c>
      <c r="H536" s="47">
        <v>0</v>
      </c>
      <c r="I536" s="47">
        <v>0</v>
      </c>
      <c r="J536" s="47">
        <f t="shared" si="438"/>
        <v>182400000</v>
      </c>
      <c r="K536" s="47"/>
      <c r="L536" s="47"/>
      <c r="M536" s="47"/>
      <c r="N536" s="47">
        <f t="shared" si="442"/>
        <v>0</v>
      </c>
      <c r="O536" s="47">
        <f t="shared" si="415"/>
        <v>182400000</v>
      </c>
      <c r="P536" s="47">
        <f t="shared" si="416"/>
        <v>0</v>
      </c>
      <c r="Q536" s="47">
        <f t="shared" si="417"/>
        <v>0</v>
      </c>
      <c r="R536" s="47">
        <f t="shared" si="418"/>
        <v>182400000</v>
      </c>
      <c r="S536" s="79">
        <f t="shared" si="440"/>
        <v>65.957336017912624</v>
      </c>
      <c r="T536" s="79">
        <v>0</v>
      </c>
      <c r="U536" s="79">
        <v>0</v>
      </c>
      <c r="V536" s="79">
        <f t="shared" si="441"/>
        <v>65.957336017912624</v>
      </c>
      <c r="W536" s="47">
        <f t="shared" si="436"/>
        <v>94142400</v>
      </c>
      <c r="X536" s="247">
        <f t="shared" si="386"/>
        <v>182400000</v>
      </c>
      <c r="Y536" s="247">
        <f t="shared" si="384"/>
        <v>0</v>
      </c>
      <c r="Z536" s="247">
        <f t="shared" si="385"/>
        <v>0</v>
      </c>
      <c r="AA536" s="93"/>
    </row>
    <row r="537" spans="1:27" s="9" customFormat="1" ht="18" customHeight="1">
      <c r="A537" s="38" t="s">
        <v>199</v>
      </c>
      <c r="B537" s="61" t="s">
        <v>200</v>
      </c>
      <c r="C537" s="101">
        <f>C538+C541+C544</f>
        <v>2951237035</v>
      </c>
      <c r="D537" s="101">
        <f>D538+D541+D544</f>
        <v>0</v>
      </c>
      <c r="E537" s="101">
        <f>E538+E541+E544</f>
        <v>0</v>
      </c>
      <c r="F537" s="101">
        <f t="shared" si="387"/>
        <v>2951237035</v>
      </c>
      <c r="G537" s="101">
        <f t="shared" ref="G537:H537" si="445">G538+G541+G544</f>
        <v>294147716</v>
      </c>
      <c r="H537" s="101">
        <f t="shared" si="445"/>
        <v>0</v>
      </c>
      <c r="I537" s="101">
        <f>I538+I541+I544</f>
        <v>0</v>
      </c>
      <c r="J537" s="101">
        <f t="shared" si="438"/>
        <v>294147716</v>
      </c>
      <c r="K537" s="101">
        <f t="shared" ref="K537:L537" si="446">K538+K541+K544</f>
        <v>0</v>
      </c>
      <c r="L537" s="101">
        <f t="shared" si="446"/>
        <v>0</v>
      </c>
      <c r="M537" s="101">
        <f>M538+M541+M544</f>
        <v>0</v>
      </c>
      <c r="N537" s="101">
        <f t="shared" si="442"/>
        <v>0</v>
      </c>
      <c r="O537" s="101">
        <f t="shared" si="415"/>
        <v>294147716</v>
      </c>
      <c r="P537" s="101">
        <f t="shared" si="416"/>
        <v>0</v>
      </c>
      <c r="Q537" s="101">
        <f t="shared" si="417"/>
        <v>0</v>
      </c>
      <c r="R537" s="101">
        <f t="shared" si="418"/>
        <v>294147716</v>
      </c>
      <c r="S537" s="104">
        <f t="shared" si="440"/>
        <v>9.9669295455286946</v>
      </c>
      <c r="T537" s="104">
        <v>0</v>
      </c>
      <c r="U537" s="104">
        <v>0</v>
      </c>
      <c r="V537" s="104">
        <f t="shared" si="441"/>
        <v>9.9669295455286946</v>
      </c>
      <c r="W537" s="101">
        <f t="shared" si="436"/>
        <v>2657089319</v>
      </c>
      <c r="X537" s="247">
        <f t="shared" si="386"/>
        <v>294147716</v>
      </c>
      <c r="Y537" s="247">
        <f t="shared" ref="Y537:Y600" si="447">H537+L537</f>
        <v>0</v>
      </c>
      <c r="Z537" s="247">
        <f t="shared" ref="Z537:Z600" si="448">I537+M537</f>
        <v>0</v>
      </c>
      <c r="AA537" s="93"/>
    </row>
    <row r="538" spans="1:27" s="8" customFormat="1" ht="33">
      <c r="A538" s="96" t="s">
        <v>201</v>
      </c>
      <c r="B538" s="96" t="s">
        <v>202</v>
      </c>
      <c r="C538" s="60">
        <f>SUM(C539:C540)</f>
        <v>12203000</v>
      </c>
      <c r="D538" s="60">
        <f>SUM(D539:D540)</f>
        <v>0</v>
      </c>
      <c r="E538" s="60">
        <f>SUM(E539:E540)</f>
        <v>0</v>
      </c>
      <c r="F538" s="60">
        <f t="shared" si="387"/>
        <v>12203000</v>
      </c>
      <c r="G538" s="60">
        <f t="shared" ref="G538:H538" si="449">SUM(G539:G540)</f>
        <v>9045000</v>
      </c>
      <c r="H538" s="60">
        <f t="shared" si="449"/>
        <v>0</v>
      </c>
      <c r="I538" s="60">
        <f>SUM(I539:I540)</f>
        <v>0</v>
      </c>
      <c r="J538" s="60">
        <f t="shared" si="438"/>
        <v>9045000</v>
      </c>
      <c r="K538" s="60">
        <f t="shared" ref="K538:L538" si="450">SUM(K539:K540)</f>
        <v>0</v>
      </c>
      <c r="L538" s="60">
        <f t="shared" si="450"/>
        <v>0</v>
      </c>
      <c r="M538" s="60">
        <f>SUM(M539:M540)</f>
        <v>0</v>
      </c>
      <c r="N538" s="60">
        <f t="shared" si="442"/>
        <v>0</v>
      </c>
      <c r="O538" s="60">
        <f t="shared" si="415"/>
        <v>9045000</v>
      </c>
      <c r="P538" s="60">
        <f t="shared" si="416"/>
        <v>0</v>
      </c>
      <c r="Q538" s="60">
        <f t="shared" si="417"/>
        <v>0</v>
      </c>
      <c r="R538" s="60">
        <f t="shared" si="418"/>
        <v>9045000</v>
      </c>
      <c r="S538" s="84">
        <f t="shared" si="440"/>
        <v>74.121117757928374</v>
      </c>
      <c r="T538" s="84">
        <v>0</v>
      </c>
      <c r="U538" s="84">
        <v>0</v>
      </c>
      <c r="V538" s="84">
        <f t="shared" si="441"/>
        <v>74.121117757928374</v>
      </c>
      <c r="W538" s="60">
        <f t="shared" si="436"/>
        <v>3158000</v>
      </c>
      <c r="X538" s="247">
        <f t="shared" ref="X538:X601" si="451">G538+K538</f>
        <v>9045000</v>
      </c>
      <c r="Y538" s="247">
        <f t="shared" si="447"/>
        <v>0</v>
      </c>
      <c r="Z538" s="247">
        <f t="shared" si="448"/>
        <v>0</v>
      </c>
      <c r="AA538" s="93"/>
    </row>
    <row r="539" spans="1:27">
      <c r="A539" s="97" t="s">
        <v>205</v>
      </c>
      <c r="B539" s="97" t="s">
        <v>206</v>
      </c>
      <c r="C539" s="98">
        <v>2000000</v>
      </c>
      <c r="D539" s="46">
        <v>0</v>
      </c>
      <c r="E539" s="46">
        <v>0</v>
      </c>
      <c r="F539" s="46">
        <f t="shared" si="387"/>
        <v>2000000</v>
      </c>
      <c r="G539" s="47">
        <v>0</v>
      </c>
      <c r="H539" s="47">
        <v>0</v>
      </c>
      <c r="I539" s="47">
        <v>0</v>
      </c>
      <c r="J539" s="47">
        <f t="shared" si="438"/>
        <v>0</v>
      </c>
      <c r="K539" s="47"/>
      <c r="L539" s="47"/>
      <c r="M539" s="47"/>
      <c r="N539" s="47">
        <f t="shared" si="442"/>
        <v>0</v>
      </c>
      <c r="O539" s="47">
        <f t="shared" si="415"/>
        <v>0</v>
      </c>
      <c r="P539" s="47">
        <f t="shared" si="416"/>
        <v>0</v>
      </c>
      <c r="Q539" s="47">
        <f t="shared" si="417"/>
        <v>0</v>
      </c>
      <c r="R539" s="47">
        <f t="shared" si="418"/>
        <v>0</v>
      </c>
      <c r="S539" s="79">
        <f t="shared" si="440"/>
        <v>0</v>
      </c>
      <c r="T539" s="79">
        <v>0</v>
      </c>
      <c r="U539" s="79">
        <v>0</v>
      </c>
      <c r="V539" s="79">
        <f t="shared" si="441"/>
        <v>0</v>
      </c>
      <c r="W539" s="47">
        <f t="shared" si="436"/>
        <v>2000000</v>
      </c>
      <c r="X539" s="247">
        <f t="shared" si="451"/>
        <v>0</v>
      </c>
      <c r="Y539" s="247">
        <f t="shared" si="447"/>
        <v>0</v>
      </c>
      <c r="Z539" s="247">
        <f t="shared" si="448"/>
        <v>0</v>
      </c>
      <c r="AA539" s="93"/>
    </row>
    <row r="540" spans="1:27" ht="33">
      <c r="A540" s="97" t="s">
        <v>477</v>
      </c>
      <c r="B540" s="97" t="s">
        <v>478</v>
      </c>
      <c r="C540" s="98">
        <v>10203000</v>
      </c>
      <c r="D540" s="46">
        <v>0</v>
      </c>
      <c r="E540" s="46">
        <v>0</v>
      </c>
      <c r="F540" s="46">
        <f t="shared" ref="F540:F603" si="452">C540+D540+E540</f>
        <v>10203000</v>
      </c>
      <c r="G540" s="47">
        <v>9045000</v>
      </c>
      <c r="H540" s="47">
        <v>0</v>
      </c>
      <c r="I540" s="47">
        <v>0</v>
      </c>
      <c r="J540" s="47">
        <f t="shared" si="438"/>
        <v>9045000</v>
      </c>
      <c r="K540" s="47"/>
      <c r="L540" s="47"/>
      <c r="M540" s="47"/>
      <c r="N540" s="47">
        <f t="shared" si="442"/>
        <v>0</v>
      </c>
      <c r="O540" s="47">
        <f t="shared" si="415"/>
        <v>9045000</v>
      </c>
      <c r="P540" s="47">
        <f t="shared" si="416"/>
        <v>0</v>
      </c>
      <c r="Q540" s="47">
        <f t="shared" si="417"/>
        <v>0</v>
      </c>
      <c r="R540" s="47">
        <f t="shared" si="418"/>
        <v>9045000</v>
      </c>
      <c r="S540" s="79">
        <f t="shared" si="440"/>
        <v>88.650396942075858</v>
      </c>
      <c r="T540" s="79">
        <v>0</v>
      </c>
      <c r="U540" s="79">
        <v>0</v>
      </c>
      <c r="V540" s="79">
        <f t="shared" si="441"/>
        <v>88.650396942075858</v>
      </c>
      <c r="W540" s="47">
        <f t="shared" si="436"/>
        <v>1158000</v>
      </c>
      <c r="X540" s="247">
        <f t="shared" si="451"/>
        <v>9045000</v>
      </c>
      <c r="Y540" s="247">
        <f t="shared" si="447"/>
        <v>0</v>
      </c>
      <c r="Z540" s="247">
        <f t="shared" si="448"/>
        <v>0</v>
      </c>
      <c r="AA540" s="93"/>
    </row>
    <row r="541" spans="1:27" s="8" customFormat="1">
      <c r="A541" s="96" t="s">
        <v>207</v>
      </c>
      <c r="B541" s="96" t="s">
        <v>208</v>
      </c>
      <c r="C541" s="100">
        <f>SUM(C542:C543)</f>
        <v>2910510035</v>
      </c>
      <c r="D541" s="100">
        <f t="shared" ref="D541:L541" si="453">SUM(D542:D543)</f>
        <v>0</v>
      </c>
      <c r="E541" s="100">
        <f>SUM(E542:E543)</f>
        <v>0</v>
      </c>
      <c r="F541" s="100">
        <f t="shared" si="452"/>
        <v>2910510035</v>
      </c>
      <c r="G541" s="100">
        <f t="shared" ref="G541:H541" si="454">SUM(G542:G543)</f>
        <v>268137816</v>
      </c>
      <c r="H541" s="100">
        <f t="shared" si="454"/>
        <v>0</v>
      </c>
      <c r="I541" s="100">
        <f>SUM(I542:I543)</f>
        <v>0</v>
      </c>
      <c r="J541" s="100">
        <f t="shared" si="438"/>
        <v>268137816</v>
      </c>
      <c r="K541" s="100">
        <f t="shared" si="453"/>
        <v>0</v>
      </c>
      <c r="L541" s="100">
        <f t="shared" si="453"/>
        <v>0</v>
      </c>
      <c r="M541" s="100">
        <f>SUM(M542:M543)</f>
        <v>0</v>
      </c>
      <c r="N541" s="100">
        <f t="shared" si="442"/>
        <v>0</v>
      </c>
      <c r="O541" s="100">
        <f t="shared" si="415"/>
        <v>268137816</v>
      </c>
      <c r="P541" s="100">
        <f t="shared" si="416"/>
        <v>0</v>
      </c>
      <c r="Q541" s="100">
        <f t="shared" si="417"/>
        <v>0</v>
      </c>
      <c r="R541" s="100">
        <f t="shared" si="418"/>
        <v>268137816</v>
      </c>
      <c r="S541" s="103">
        <f t="shared" si="440"/>
        <v>9.2127432228557833</v>
      </c>
      <c r="T541" s="103">
        <v>0</v>
      </c>
      <c r="U541" s="103">
        <v>0</v>
      </c>
      <c r="V541" s="103">
        <f t="shared" si="441"/>
        <v>9.2127432228557833</v>
      </c>
      <c r="W541" s="100">
        <f t="shared" si="436"/>
        <v>2642372219</v>
      </c>
      <c r="X541" s="247">
        <f t="shared" si="451"/>
        <v>268137816</v>
      </c>
      <c r="Y541" s="247">
        <f t="shared" si="447"/>
        <v>0</v>
      </c>
      <c r="Z541" s="247">
        <f t="shared" si="448"/>
        <v>0</v>
      </c>
      <c r="AA541" s="93"/>
    </row>
    <row r="542" spans="1:27">
      <c r="A542" s="97" t="s">
        <v>381</v>
      </c>
      <c r="B542" s="97" t="s">
        <v>212</v>
      </c>
      <c r="C542" s="98">
        <v>1885652435</v>
      </c>
      <c r="D542" s="46">
        <v>0</v>
      </c>
      <c r="E542" s="46">
        <v>0</v>
      </c>
      <c r="F542" s="46">
        <f t="shared" si="452"/>
        <v>1885652435</v>
      </c>
      <c r="G542" s="144">
        <v>168640746</v>
      </c>
      <c r="H542" s="47">
        <v>0</v>
      </c>
      <c r="I542" s="47">
        <v>0</v>
      </c>
      <c r="J542" s="47">
        <f t="shared" si="438"/>
        <v>168640746</v>
      </c>
      <c r="K542" s="47"/>
      <c r="L542" s="47"/>
      <c r="M542" s="47"/>
      <c r="N542" s="47">
        <f t="shared" si="442"/>
        <v>0</v>
      </c>
      <c r="O542" s="47">
        <f t="shared" si="415"/>
        <v>168640746</v>
      </c>
      <c r="P542" s="47">
        <f t="shared" si="416"/>
        <v>0</v>
      </c>
      <c r="Q542" s="47">
        <f t="shared" si="417"/>
        <v>0</v>
      </c>
      <c r="R542" s="47">
        <f t="shared" si="418"/>
        <v>168640746</v>
      </c>
      <c r="S542" s="79">
        <f t="shared" si="440"/>
        <v>8.9433632025617698</v>
      </c>
      <c r="T542" s="79">
        <v>0</v>
      </c>
      <c r="U542" s="79">
        <v>0</v>
      </c>
      <c r="V542" s="79">
        <f t="shared" si="441"/>
        <v>8.9433632025617698</v>
      </c>
      <c r="W542" s="47">
        <f t="shared" si="436"/>
        <v>1717011689</v>
      </c>
      <c r="X542" s="247">
        <f t="shared" si="451"/>
        <v>168640746</v>
      </c>
      <c r="Y542" s="247">
        <f t="shared" si="447"/>
        <v>0</v>
      </c>
      <c r="Z542" s="247">
        <f t="shared" si="448"/>
        <v>0</v>
      </c>
      <c r="AA542" s="93"/>
    </row>
    <row r="543" spans="1:27">
      <c r="A543" s="97" t="s">
        <v>490</v>
      </c>
      <c r="B543" s="97" t="s">
        <v>491</v>
      </c>
      <c r="C543" s="98">
        <v>1024857600</v>
      </c>
      <c r="D543" s="46">
        <v>0</v>
      </c>
      <c r="E543" s="46">
        <v>0</v>
      </c>
      <c r="F543" s="46">
        <f t="shared" si="452"/>
        <v>1024857600</v>
      </c>
      <c r="G543" s="47">
        <v>99497070</v>
      </c>
      <c r="H543" s="47">
        <v>0</v>
      </c>
      <c r="I543" s="47">
        <v>0</v>
      </c>
      <c r="J543" s="47">
        <f t="shared" si="438"/>
        <v>99497070</v>
      </c>
      <c r="K543" s="47"/>
      <c r="L543" s="47"/>
      <c r="M543" s="47"/>
      <c r="N543" s="47">
        <f t="shared" si="442"/>
        <v>0</v>
      </c>
      <c r="O543" s="47">
        <f t="shared" si="415"/>
        <v>99497070</v>
      </c>
      <c r="P543" s="47">
        <f t="shared" si="416"/>
        <v>0</v>
      </c>
      <c r="Q543" s="47">
        <f t="shared" si="417"/>
        <v>0</v>
      </c>
      <c r="R543" s="47">
        <f t="shared" si="418"/>
        <v>99497070</v>
      </c>
      <c r="S543" s="79">
        <f t="shared" si="440"/>
        <v>9.7083799739593086</v>
      </c>
      <c r="T543" s="79">
        <v>0</v>
      </c>
      <c r="U543" s="79">
        <v>0</v>
      </c>
      <c r="V543" s="79">
        <f t="shared" si="441"/>
        <v>9.7083799739593086</v>
      </c>
      <c r="W543" s="47">
        <f t="shared" si="436"/>
        <v>925360530</v>
      </c>
      <c r="X543" s="247">
        <f t="shared" si="451"/>
        <v>99497070</v>
      </c>
      <c r="Y543" s="247">
        <f t="shared" si="447"/>
        <v>0</v>
      </c>
      <c r="Z543" s="247">
        <f t="shared" si="448"/>
        <v>0</v>
      </c>
      <c r="AA543" s="93"/>
    </row>
    <row r="544" spans="1:27" s="8" customFormat="1">
      <c r="A544" s="96" t="s">
        <v>213</v>
      </c>
      <c r="B544" s="96" t="s">
        <v>214</v>
      </c>
      <c r="C544" s="100">
        <f>SUM(C545:C548)</f>
        <v>28524000</v>
      </c>
      <c r="D544" s="100">
        <f>SUM(D545:D548)</f>
        <v>0</v>
      </c>
      <c r="E544" s="100">
        <f>SUM(E545:E548)</f>
        <v>0</v>
      </c>
      <c r="F544" s="100">
        <f t="shared" si="452"/>
        <v>28524000</v>
      </c>
      <c r="G544" s="100">
        <f t="shared" ref="G544:H544" si="455">SUM(G545:G548)</f>
        <v>16964900</v>
      </c>
      <c r="H544" s="100">
        <f t="shared" si="455"/>
        <v>0</v>
      </c>
      <c r="I544" s="100">
        <f>SUM(I545:I548)</f>
        <v>0</v>
      </c>
      <c r="J544" s="100">
        <f t="shared" si="438"/>
        <v>16964900</v>
      </c>
      <c r="K544" s="100">
        <f>SUM(K545:K548)</f>
        <v>0</v>
      </c>
      <c r="L544" s="100">
        <f t="shared" ref="L544" si="456">SUM(L545:L548)</f>
        <v>0</v>
      </c>
      <c r="M544" s="100">
        <f>SUM(M545:M548)</f>
        <v>0</v>
      </c>
      <c r="N544" s="100">
        <f t="shared" si="442"/>
        <v>0</v>
      </c>
      <c r="O544" s="100">
        <f t="shared" si="415"/>
        <v>16964900</v>
      </c>
      <c r="P544" s="100">
        <f t="shared" si="416"/>
        <v>0</v>
      </c>
      <c r="Q544" s="100">
        <f t="shared" si="417"/>
        <v>0</v>
      </c>
      <c r="R544" s="100">
        <f t="shared" si="418"/>
        <v>16964900</v>
      </c>
      <c r="S544" s="103">
        <f t="shared" si="440"/>
        <v>59.475879960734822</v>
      </c>
      <c r="T544" s="103">
        <v>0</v>
      </c>
      <c r="U544" s="103">
        <v>0</v>
      </c>
      <c r="V544" s="103">
        <f t="shared" si="441"/>
        <v>59.475879960734822</v>
      </c>
      <c r="W544" s="100">
        <f t="shared" si="436"/>
        <v>11559100</v>
      </c>
      <c r="X544" s="247">
        <f t="shared" si="451"/>
        <v>16964900</v>
      </c>
      <c r="Y544" s="247">
        <f t="shared" si="447"/>
        <v>0</v>
      </c>
      <c r="Z544" s="247">
        <f t="shared" si="448"/>
        <v>0</v>
      </c>
      <c r="AA544" s="93"/>
    </row>
    <row r="545" spans="1:27">
      <c r="A545" s="97" t="s">
        <v>203</v>
      </c>
      <c r="B545" s="97" t="s">
        <v>204</v>
      </c>
      <c r="C545" s="98">
        <v>3874000</v>
      </c>
      <c r="D545" s="46">
        <v>0</v>
      </c>
      <c r="E545" s="46">
        <v>0</v>
      </c>
      <c r="F545" s="46">
        <f t="shared" si="452"/>
        <v>3874000</v>
      </c>
      <c r="G545" s="47">
        <v>1300000</v>
      </c>
      <c r="H545" s="47">
        <v>0</v>
      </c>
      <c r="I545" s="47">
        <v>0</v>
      </c>
      <c r="J545" s="47">
        <f t="shared" si="438"/>
        <v>1300000</v>
      </c>
      <c r="K545" s="47"/>
      <c r="L545" s="47"/>
      <c r="M545" s="47"/>
      <c r="N545" s="47">
        <f t="shared" si="442"/>
        <v>0</v>
      </c>
      <c r="O545" s="47">
        <f t="shared" si="415"/>
        <v>1300000</v>
      </c>
      <c r="P545" s="47">
        <f t="shared" si="416"/>
        <v>0</v>
      </c>
      <c r="Q545" s="47">
        <f t="shared" si="417"/>
        <v>0</v>
      </c>
      <c r="R545" s="47">
        <f t="shared" si="418"/>
        <v>1300000</v>
      </c>
      <c r="S545" s="79">
        <f t="shared" si="440"/>
        <v>33.557046979865774</v>
      </c>
      <c r="T545" s="79">
        <v>0</v>
      </c>
      <c r="U545" s="79">
        <v>0</v>
      </c>
      <c r="V545" s="79">
        <f t="shared" si="441"/>
        <v>33.557046979865774</v>
      </c>
      <c r="W545" s="47">
        <f t="shared" si="436"/>
        <v>2574000</v>
      </c>
      <c r="X545" s="247">
        <f t="shared" si="451"/>
        <v>1300000</v>
      </c>
      <c r="Y545" s="247">
        <f t="shared" si="447"/>
        <v>0</v>
      </c>
      <c r="Z545" s="247">
        <f t="shared" si="448"/>
        <v>0</v>
      </c>
      <c r="AA545" s="93"/>
    </row>
    <row r="546" spans="1:27" ht="33">
      <c r="A546" s="97" t="s">
        <v>217</v>
      </c>
      <c r="B546" s="97" t="s">
        <v>218</v>
      </c>
      <c r="C546" s="98">
        <v>10370000</v>
      </c>
      <c r="D546" s="46">
        <v>0</v>
      </c>
      <c r="E546" s="46">
        <v>0</v>
      </c>
      <c r="F546" s="46">
        <f t="shared" si="452"/>
        <v>10370000</v>
      </c>
      <c r="G546" s="47">
        <v>7189900</v>
      </c>
      <c r="H546" s="47">
        <v>0</v>
      </c>
      <c r="I546" s="47">
        <v>0</v>
      </c>
      <c r="J546" s="47">
        <f t="shared" si="438"/>
        <v>7189900</v>
      </c>
      <c r="K546" s="47"/>
      <c r="L546" s="47"/>
      <c r="M546" s="47"/>
      <c r="N546" s="47">
        <f t="shared" si="442"/>
        <v>0</v>
      </c>
      <c r="O546" s="47">
        <f t="shared" si="415"/>
        <v>7189900</v>
      </c>
      <c r="P546" s="47">
        <f t="shared" si="416"/>
        <v>0</v>
      </c>
      <c r="Q546" s="47">
        <f t="shared" si="417"/>
        <v>0</v>
      </c>
      <c r="R546" s="47">
        <f t="shared" si="418"/>
        <v>7189900</v>
      </c>
      <c r="S546" s="79">
        <f t="shared" si="440"/>
        <v>69.333654773384765</v>
      </c>
      <c r="T546" s="79">
        <v>0</v>
      </c>
      <c r="U546" s="79">
        <v>0</v>
      </c>
      <c r="V546" s="79">
        <f t="shared" si="441"/>
        <v>69.333654773384765</v>
      </c>
      <c r="W546" s="47">
        <f t="shared" si="436"/>
        <v>3180100</v>
      </c>
      <c r="X546" s="247">
        <f t="shared" si="451"/>
        <v>7189900</v>
      </c>
      <c r="Y546" s="247">
        <f t="shared" si="447"/>
        <v>0</v>
      </c>
      <c r="Z546" s="247">
        <f t="shared" si="448"/>
        <v>0</v>
      </c>
      <c r="AA546" s="93"/>
    </row>
    <row r="547" spans="1:27">
      <c r="A547" s="97" t="s">
        <v>219</v>
      </c>
      <c r="B547" s="97" t="s">
        <v>220</v>
      </c>
      <c r="C547" s="98">
        <v>8760000</v>
      </c>
      <c r="D547" s="46">
        <v>0</v>
      </c>
      <c r="E547" s="46">
        <v>0</v>
      </c>
      <c r="F547" s="46">
        <f t="shared" si="452"/>
        <v>8760000</v>
      </c>
      <c r="G547" s="47">
        <v>3925000</v>
      </c>
      <c r="H547" s="47">
        <v>0</v>
      </c>
      <c r="I547" s="47">
        <v>0</v>
      </c>
      <c r="J547" s="47">
        <f t="shared" si="438"/>
        <v>3925000</v>
      </c>
      <c r="K547" s="47"/>
      <c r="L547" s="47"/>
      <c r="M547" s="47"/>
      <c r="N547" s="47">
        <f t="shared" si="442"/>
        <v>0</v>
      </c>
      <c r="O547" s="47">
        <f t="shared" si="415"/>
        <v>3925000</v>
      </c>
      <c r="P547" s="47">
        <f t="shared" si="416"/>
        <v>0</v>
      </c>
      <c r="Q547" s="47">
        <f t="shared" si="417"/>
        <v>0</v>
      </c>
      <c r="R547" s="47">
        <f t="shared" si="418"/>
        <v>3925000</v>
      </c>
      <c r="S547" s="79">
        <f t="shared" si="440"/>
        <v>44.805936073059357</v>
      </c>
      <c r="T547" s="79">
        <v>0</v>
      </c>
      <c r="U547" s="79">
        <v>0</v>
      </c>
      <c r="V547" s="79">
        <f t="shared" si="441"/>
        <v>44.805936073059357</v>
      </c>
      <c r="W547" s="47">
        <f t="shared" si="436"/>
        <v>4835000</v>
      </c>
      <c r="X547" s="247">
        <f t="shared" si="451"/>
        <v>3925000</v>
      </c>
      <c r="Y547" s="247">
        <f t="shared" si="447"/>
        <v>0</v>
      </c>
      <c r="Z547" s="247">
        <f t="shared" si="448"/>
        <v>0</v>
      </c>
      <c r="AA547" s="93"/>
    </row>
    <row r="548" spans="1:27">
      <c r="A548" s="97" t="s">
        <v>493</v>
      </c>
      <c r="B548" s="97" t="s">
        <v>492</v>
      </c>
      <c r="C548" s="98">
        <v>5520000</v>
      </c>
      <c r="D548" s="46">
        <v>0</v>
      </c>
      <c r="E548" s="46">
        <v>0</v>
      </c>
      <c r="F548" s="46">
        <f t="shared" si="452"/>
        <v>5520000</v>
      </c>
      <c r="G548" s="47">
        <v>4550000</v>
      </c>
      <c r="H548" s="47">
        <v>0</v>
      </c>
      <c r="I548" s="47">
        <v>0</v>
      </c>
      <c r="J548" s="47">
        <f t="shared" si="438"/>
        <v>4550000</v>
      </c>
      <c r="K548" s="47"/>
      <c r="L548" s="47"/>
      <c r="M548" s="47"/>
      <c r="N548" s="47">
        <f t="shared" si="442"/>
        <v>0</v>
      </c>
      <c r="O548" s="47">
        <f t="shared" si="415"/>
        <v>4550000</v>
      </c>
      <c r="P548" s="47">
        <f t="shared" si="416"/>
        <v>0</v>
      </c>
      <c r="Q548" s="47">
        <f t="shared" si="417"/>
        <v>0</v>
      </c>
      <c r="R548" s="47">
        <f t="shared" si="418"/>
        <v>4550000</v>
      </c>
      <c r="S548" s="79">
        <f t="shared" si="440"/>
        <v>82.427536231884062</v>
      </c>
      <c r="T548" s="79">
        <v>0</v>
      </c>
      <c r="U548" s="79">
        <v>0</v>
      </c>
      <c r="V548" s="79">
        <f t="shared" si="441"/>
        <v>82.427536231884062</v>
      </c>
      <c r="W548" s="47">
        <f t="shared" si="436"/>
        <v>970000</v>
      </c>
      <c r="X548" s="247">
        <f t="shared" si="451"/>
        <v>4550000</v>
      </c>
      <c r="Y548" s="247">
        <f t="shared" si="447"/>
        <v>0</v>
      </c>
      <c r="Z548" s="247">
        <f t="shared" si="448"/>
        <v>0</v>
      </c>
      <c r="AA548" s="93"/>
    </row>
    <row r="549" spans="1:27" s="16" customFormat="1" ht="20.25" customHeight="1">
      <c r="A549" s="35" t="s">
        <v>262</v>
      </c>
      <c r="B549" s="125" t="s">
        <v>263</v>
      </c>
      <c r="C549" s="143">
        <f t="shared" ref="C549:M550" si="457">C550</f>
        <v>612870850</v>
      </c>
      <c r="D549" s="143">
        <f t="shared" si="457"/>
        <v>600112450</v>
      </c>
      <c r="E549" s="143">
        <f t="shared" si="457"/>
        <v>0</v>
      </c>
      <c r="F549" s="143">
        <f t="shared" si="452"/>
        <v>1212983300</v>
      </c>
      <c r="G549" s="143">
        <f t="shared" ref="G549:I550" si="458">G550</f>
        <v>433271880</v>
      </c>
      <c r="H549" s="143">
        <f t="shared" si="458"/>
        <v>357269660</v>
      </c>
      <c r="I549" s="143">
        <f t="shared" si="458"/>
        <v>0</v>
      </c>
      <c r="J549" s="143">
        <f t="shared" si="438"/>
        <v>790541540</v>
      </c>
      <c r="K549" s="143">
        <f t="shared" si="457"/>
        <v>0</v>
      </c>
      <c r="L549" s="143">
        <f t="shared" si="457"/>
        <v>0</v>
      </c>
      <c r="M549" s="143">
        <f t="shared" si="457"/>
        <v>0</v>
      </c>
      <c r="N549" s="143">
        <f t="shared" si="442"/>
        <v>0</v>
      </c>
      <c r="O549" s="143">
        <f t="shared" si="415"/>
        <v>433271880</v>
      </c>
      <c r="P549" s="143">
        <f t="shared" si="416"/>
        <v>357269660</v>
      </c>
      <c r="Q549" s="143">
        <f t="shared" si="417"/>
        <v>0</v>
      </c>
      <c r="R549" s="143">
        <f t="shared" si="418"/>
        <v>790541540</v>
      </c>
      <c r="S549" s="145">
        <f t="shared" si="440"/>
        <v>70.695462184243212</v>
      </c>
      <c r="T549" s="145">
        <f t="shared" ref="T549:T569" si="459">P549/D549*100</f>
        <v>59.533785709661579</v>
      </c>
      <c r="U549" s="145">
        <v>0</v>
      </c>
      <c r="V549" s="145">
        <f t="shared" si="441"/>
        <v>65.173324315347131</v>
      </c>
      <c r="W549" s="143">
        <f t="shared" si="436"/>
        <v>422441760</v>
      </c>
      <c r="X549" s="247">
        <f t="shared" si="451"/>
        <v>433271880</v>
      </c>
      <c r="Y549" s="247">
        <f t="shared" si="447"/>
        <v>357269660</v>
      </c>
      <c r="Z549" s="247">
        <f t="shared" si="448"/>
        <v>0</v>
      </c>
      <c r="AA549" s="93"/>
    </row>
    <row r="550" spans="1:27" s="17" customFormat="1" ht="21" customHeight="1">
      <c r="A550" s="38" t="s">
        <v>264</v>
      </c>
      <c r="B550" s="137" t="s">
        <v>265</v>
      </c>
      <c r="C550" s="118">
        <f t="shared" si="457"/>
        <v>612870850</v>
      </c>
      <c r="D550" s="118">
        <f t="shared" si="457"/>
        <v>600112450</v>
      </c>
      <c r="E550" s="118">
        <f t="shared" si="457"/>
        <v>0</v>
      </c>
      <c r="F550" s="118">
        <f t="shared" si="452"/>
        <v>1212983300</v>
      </c>
      <c r="G550" s="118">
        <f t="shared" si="458"/>
        <v>433271880</v>
      </c>
      <c r="H550" s="118">
        <f t="shared" si="458"/>
        <v>357269660</v>
      </c>
      <c r="I550" s="118">
        <f t="shared" si="458"/>
        <v>0</v>
      </c>
      <c r="J550" s="118">
        <f t="shared" si="438"/>
        <v>790541540</v>
      </c>
      <c r="K550" s="118">
        <f t="shared" si="457"/>
        <v>0</v>
      </c>
      <c r="L550" s="118">
        <f t="shared" si="457"/>
        <v>0</v>
      </c>
      <c r="M550" s="118">
        <f t="shared" si="457"/>
        <v>0</v>
      </c>
      <c r="N550" s="118">
        <f t="shared" si="442"/>
        <v>0</v>
      </c>
      <c r="O550" s="118">
        <f t="shared" si="415"/>
        <v>433271880</v>
      </c>
      <c r="P550" s="118">
        <f t="shared" si="416"/>
        <v>357269660</v>
      </c>
      <c r="Q550" s="118">
        <f t="shared" si="417"/>
        <v>0</v>
      </c>
      <c r="R550" s="118">
        <f t="shared" si="418"/>
        <v>790541540</v>
      </c>
      <c r="S550" s="129">
        <f t="shared" si="440"/>
        <v>70.695462184243212</v>
      </c>
      <c r="T550" s="129">
        <f t="shared" si="459"/>
        <v>59.533785709661579</v>
      </c>
      <c r="U550" s="129">
        <v>0</v>
      </c>
      <c r="V550" s="129">
        <f t="shared" si="441"/>
        <v>65.173324315347131</v>
      </c>
      <c r="W550" s="118">
        <f t="shared" si="436"/>
        <v>422441760</v>
      </c>
      <c r="X550" s="247">
        <f t="shared" si="451"/>
        <v>433271880</v>
      </c>
      <c r="Y550" s="247">
        <f t="shared" si="447"/>
        <v>357269660</v>
      </c>
      <c r="Z550" s="247">
        <f t="shared" si="448"/>
        <v>0</v>
      </c>
      <c r="AA550" s="93"/>
    </row>
    <row r="551" spans="1:27" s="8" customFormat="1" ht="33" customHeight="1">
      <c r="A551" s="59" t="s">
        <v>318</v>
      </c>
      <c r="B551" s="146" t="s">
        <v>319</v>
      </c>
      <c r="C551" s="138">
        <f>SUM(C552:C569)</f>
        <v>612870850</v>
      </c>
      <c r="D551" s="138">
        <f>SUM(D552:D569)</f>
        <v>600112450</v>
      </c>
      <c r="E551" s="138">
        <f>SUM(E552:E569)</f>
        <v>0</v>
      </c>
      <c r="F551" s="138">
        <f t="shared" si="452"/>
        <v>1212983300</v>
      </c>
      <c r="G551" s="138">
        <f t="shared" ref="G551:I551" si="460">SUM(G552:G569)</f>
        <v>433271880</v>
      </c>
      <c r="H551" s="138">
        <f t="shared" si="460"/>
        <v>357269660</v>
      </c>
      <c r="I551" s="138">
        <f t="shared" si="460"/>
        <v>0</v>
      </c>
      <c r="J551" s="138">
        <f t="shared" si="438"/>
        <v>790541540</v>
      </c>
      <c r="K551" s="138">
        <f>SUM(K552:K569)</f>
        <v>0</v>
      </c>
      <c r="L551" s="138">
        <f t="shared" ref="L551:M551" si="461">SUM(L552:L569)</f>
        <v>0</v>
      </c>
      <c r="M551" s="138">
        <f t="shared" si="461"/>
        <v>0</v>
      </c>
      <c r="N551" s="138">
        <f t="shared" si="442"/>
        <v>0</v>
      </c>
      <c r="O551" s="138">
        <f t="shared" si="415"/>
        <v>433271880</v>
      </c>
      <c r="P551" s="138">
        <f t="shared" si="416"/>
        <v>357269660</v>
      </c>
      <c r="Q551" s="138">
        <f t="shared" si="417"/>
        <v>0</v>
      </c>
      <c r="R551" s="138">
        <f t="shared" si="418"/>
        <v>790541540</v>
      </c>
      <c r="S551" s="140">
        <f t="shared" si="440"/>
        <v>70.695462184243212</v>
      </c>
      <c r="T551" s="140">
        <f t="shared" si="459"/>
        <v>59.533785709661579</v>
      </c>
      <c r="U551" s="140">
        <v>0</v>
      </c>
      <c r="V551" s="140">
        <f t="shared" si="441"/>
        <v>65.173324315347131</v>
      </c>
      <c r="W551" s="138">
        <f t="shared" si="436"/>
        <v>422441760</v>
      </c>
      <c r="X551" s="247">
        <f t="shared" si="451"/>
        <v>433271880</v>
      </c>
      <c r="Y551" s="247">
        <f t="shared" si="447"/>
        <v>357269660</v>
      </c>
      <c r="Z551" s="247">
        <f t="shared" si="448"/>
        <v>0</v>
      </c>
      <c r="AA551" s="93"/>
    </row>
    <row r="552" spans="1:27">
      <c r="A552" s="44" t="s">
        <v>291</v>
      </c>
      <c r="B552" s="45" t="s">
        <v>292</v>
      </c>
      <c r="C552" s="46">
        <v>29824239</v>
      </c>
      <c r="D552" s="46">
        <v>0</v>
      </c>
      <c r="E552" s="46">
        <v>0</v>
      </c>
      <c r="F552" s="46">
        <f t="shared" si="452"/>
        <v>29824239</v>
      </c>
      <c r="G552" s="47">
        <v>24825360</v>
      </c>
      <c r="H552" s="47">
        <v>0</v>
      </c>
      <c r="I552" s="47">
        <v>0</v>
      </c>
      <c r="J552" s="47">
        <f t="shared" si="438"/>
        <v>24825360</v>
      </c>
      <c r="K552" s="47"/>
      <c r="L552" s="47"/>
      <c r="M552" s="47"/>
      <c r="N552" s="47">
        <f t="shared" si="442"/>
        <v>0</v>
      </c>
      <c r="O552" s="47">
        <f t="shared" si="415"/>
        <v>24825360</v>
      </c>
      <c r="P552" s="47">
        <f t="shared" si="416"/>
        <v>0</v>
      </c>
      <c r="Q552" s="47">
        <f t="shared" si="417"/>
        <v>0</v>
      </c>
      <c r="R552" s="47">
        <f t="shared" si="418"/>
        <v>24825360</v>
      </c>
      <c r="S552" s="79">
        <f t="shared" si="440"/>
        <v>83.238871576907627</v>
      </c>
      <c r="T552" s="79">
        <v>0</v>
      </c>
      <c r="U552" s="79">
        <v>0</v>
      </c>
      <c r="V552" s="79">
        <f t="shared" si="441"/>
        <v>83.238871576907627</v>
      </c>
      <c r="W552" s="47">
        <f t="shared" si="436"/>
        <v>4998879</v>
      </c>
      <c r="X552" s="247">
        <f t="shared" si="451"/>
        <v>24825360</v>
      </c>
      <c r="Y552" s="247">
        <f t="shared" si="447"/>
        <v>0</v>
      </c>
      <c r="Z552" s="247">
        <f t="shared" si="448"/>
        <v>0</v>
      </c>
      <c r="AA552" s="93"/>
    </row>
    <row r="553" spans="1:27">
      <c r="A553" s="44" t="s">
        <v>320</v>
      </c>
      <c r="B553" s="45" t="s">
        <v>321</v>
      </c>
      <c r="C553" s="46">
        <v>1359015</v>
      </c>
      <c r="D553" s="46">
        <v>1087212</v>
      </c>
      <c r="E553" s="46">
        <v>0</v>
      </c>
      <c r="F553" s="46">
        <f t="shared" si="452"/>
        <v>2446227</v>
      </c>
      <c r="G553" s="47">
        <v>0</v>
      </c>
      <c r="H553" s="47">
        <v>2443000</v>
      </c>
      <c r="I553" s="47">
        <v>0</v>
      </c>
      <c r="J553" s="47">
        <f t="shared" si="438"/>
        <v>2443000</v>
      </c>
      <c r="K553" s="47"/>
      <c r="L553" s="47"/>
      <c r="M553" s="47"/>
      <c r="N553" s="47">
        <f t="shared" si="442"/>
        <v>0</v>
      </c>
      <c r="O553" s="47">
        <f t="shared" si="415"/>
        <v>0</v>
      </c>
      <c r="P553" s="47">
        <f t="shared" si="416"/>
        <v>2443000</v>
      </c>
      <c r="Q553" s="47">
        <f t="shared" si="417"/>
        <v>0</v>
      </c>
      <c r="R553" s="47">
        <f t="shared" si="418"/>
        <v>2443000</v>
      </c>
      <c r="S553" s="79">
        <f t="shared" si="440"/>
        <v>0</v>
      </c>
      <c r="T553" s="79">
        <f t="shared" si="459"/>
        <v>224.70318576321819</v>
      </c>
      <c r="U553" s="79">
        <v>0</v>
      </c>
      <c r="V553" s="79">
        <f t="shared" si="441"/>
        <v>99.868082561430313</v>
      </c>
      <c r="W553" s="47">
        <f t="shared" si="436"/>
        <v>3227</v>
      </c>
      <c r="X553" s="247">
        <f t="shared" si="451"/>
        <v>0</v>
      </c>
      <c r="Y553" s="247">
        <f t="shared" si="447"/>
        <v>2443000</v>
      </c>
      <c r="Z553" s="247">
        <f t="shared" si="448"/>
        <v>0</v>
      </c>
      <c r="AA553" s="93"/>
    </row>
    <row r="554" spans="1:27">
      <c r="A554" s="44" t="s">
        <v>313</v>
      </c>
      <c r="B554" s="45" t="s">
        <v>314</v>
      </c>
      <c r="C554" s="95">
        <v>0</v>
      </c>
      <c r="D554" s="95">
        <v>1623293</v>
      </c>
      <c r="E554" s="46">
        <v>0</v>
      </c>
      <c r="F554" s="95">
        <f t="shared" si="452"/>
        <v>1623293</v>
      </c>
      <c r="G554" s="63">
        <v>0</v>
      </c>
      <c r="H554" s="63">
        <v>1581500</v>
      </c>
      <c r="I554" s="63">
        <v>0</v>
      </c>
      <c r="J554" s="63">
        <f t="shared" si="438"/>
        <v>1581500</v>
      </c>
      <c r="K554" s="63"/>
      <c r="L554" s="47"/>
      <c r="M554" s="47"/>
      <c r="N554" s="63">
        <f t="shared" si="442"/>
        <v>0</v>
      </c>
      <c r="O554" s="47">
        <f t="shared" si="415"/>
        <v>0</v>
      </c>
      <c r="P554" s="63">
        <f t="shared" si="416"/>
        <v>1581500</v>
      </c>
      <c r="Q554" s="63">
        <f t="shared" si="417"/>
        <v>0</v>
      </c>
      <c r="R554" s="63">
        <f t="shared" si="418"/>
        <v>1581500</v>
      </c>
      <c r="S554" s="79">
        <v>0</v>
      </c>
      <c r="T554" s="130">
        <f t="shared" si="459"/>
        <v>97.425418578161796</v>
      </c>
      <c r="U554" s="130">
        <v>0</v>
      </c>
      <c r="V554" s="130">
        <f t="shared" si="441"/>
        <v>97.425418578161796</v>
      </c>
      <c r="W554" s="63">
        <f t="shared" si="436"/>
        <v>41793</v>
      </c>
      <c r="X554" s="247">
        <f t="shared" si="451"/>
        <v>0</v>
      </c>
      <c r="Y554" s="247">
        <f t="shared" si="447"/>
        <v>1581500</v>
      </c>
      <c r="Z554" s="247">
        <f t="shared" si="448"/>
        <v>0</v>
      </c>
      <c r="AA554" s="93"/>
    </row>
    <row r="555" spans="1:27" ht="17.25" customHeight="1">
      <c r="A555" s="44" t="s">
        <v>123</v>
      </c>
      <c r="B555" s="45" t="s">
        <v>111</v>
      </c>
      <c r="C555" s="46">
        <v>11979331</v>
      </c>
      <c r="D555" s="46">
        <v>793</v>
      </c>
      <c r="E555" s="46">
        <v>0</v>
      </c>
      <c r="F555" s="46">
        <f t="shared" si="452"/>
        <v>11980124</v>
      </c>
      <c r="G555" s="47">
        <v>7409250</v>
      </c>
      <c r="H555" s="47">
        <v>0</v>
      </c>
      <c r="I555" s="47">
        <v>0</v>
      </c>
      <c r="J555" s="47">
        <f t="shared" si="438"/>
        <v>7409250</v>
      </c>
      <c r="K555" s="47"/>
      <c r="L555" s="47"/>
      <c r="M555" s="47"/>
      <c r="N555" s="47">
        <f t="shared" si="442"/>
        <v>0</v>
      </c>
      <c r="O555" s="47">
        <f t="shared" si="415"/>
        <v>7409250</v>
      </c>
      <c r="P555" s="47">
        <f t="shared" si="416"/>
        <v>0</v>
      </c>
      <c r="Q555" s="47">
        <f t="shared" si="417"/>
        <v>0</v>
      </c>
      <c r="R555" s="47">
        <f t="shared" si="418"/>
        <v>7409250</v>
      </c>
      <c r="S555" s="79">
        <f t="shared" si="440"/>
        <v>61.850281956479868</v>
      </c>
      <c r="T555" s="79">
        <f t="shared" si="459"/>
        <v>0</v>
      </c>
      <c r="U555" s="79">
        <v>0</v>
      </c>
      <c r="V555" s="79">
        <f t="shared" si="441"/>
        <v>61.846187902562612</v>
      </c>
      <c r="W555" s="47">
        <f t="shared" si="436"/>
        <v>4570874</v>
      </c>
      <c r="X555" s="247">
        <f t="shared" si="451"/>
        <v>7409250</v>
      </c>
      <c r="Y555" s="247">
        <f t="shared" si="447"/>
        <v>0</v>
      </c>
      <c r="Z555" s="247">
        <f t="shared" si="448"/>
        <v>0</v>
      </c>
      <c r="AA555" s="93"/>
    </row>
    <row r="556" spans="1:27" ht="17.25" customHeight="1">
      <c r="A556" s="44" t="s">
        <v>373</v>
      </c>
      <c r="B556" s="45" t="s">
        <v>374</v>
      </c>
      <c r="C556" s="46">
        <v>5358700</v>
      </c>
      <c r="D556" s="46">
        <v>2481100</v>
      </c>
      <c r="E556" s="46">
        <v>0</v>
      </c>
      <c r="F556" s="46">
        <f t="shared" si="452"/>
        <v>7839800</v>
      </c>
      <c r="G556" s="47">
        <v>6076000</v>
      </c>
      <c r="H556" s="47">
        <v>1734000</v>
      </c>
      <c r="I556" s="47">
        <v>0</v>
      </c>
      <c r="J556" s="47">
        <f t="shared" si="438"/>
        <v>7810000</v>
      </c>
      <c r="K556" s="47"/>
      <c r="L556" s="47"/>
      <c r="M556" s="47"/>
      <c r="N556" s="47">
        <f t="shared" si="442"/>
        <v>0</v>
      </c>
      <c r="O556" s="47">
        <f t="shared" si="415"/>
        <v>6076000</v>
      </c>
      <c r="P556" s="47">
        <f t="shared" si="416"/>
        <v>1734000</v>
      </c>
      <c r="Q556" s="47">
        <f t="shared" si="417"/>
        <v>0</v>
      </c>
      <c r="R556" s="47">
        <f t="shared" si="418"/>
        <v>7810000</v>
      </c>
      <c r="S556" s="79">
        <f t="shared" si="440"/>
        <v>113.38570922051989</v>
      </c>
      <c r="T556" s="79">
        <f t="shared" si="459"/>
        <v>69.888355971141834</v>
      </c>
      <c r="U556" s="79">
        <v>0</v>
      </c>
      <c r="V556" s="79">
        <f t="shared" si="441"/>
        <v>99.619888262455675</v>
      </c>
      <c r="W556" s="47">
        <f t="shared" si="436"/>
        <v>29800</v>
      </c>
      <c r="X556" s="247">
        <f t="shared" si="451"/>
        <v>6076000</v>
      </c>
      <c r="Y556" s="247">
        <f t="shared" si="447"/>
        <v>1734000</v>
      </c>
      <c r="Z556" s="247">
        <f t="shared" si="448"/>
        <v>0</v>
      </c>
      <c r="AA556" s="93"/>
    </row>
    <row r="557" spans="1:27">
      <c r="A557" s="44" t="s">
        <v>128</v>
      </c>
      <c r="B557" s="45" t="s">
        <v>113</v>
      </c>
      <c r="C557" s="46">
        <f>1900600+286960+5770000+3278000+2455380+1874000</f>
        <v>15564940</v>
      </c>
      <c r="D557" s="46">
        <f>3465500+919040+1212120+2700720+3973400</f>
        <v>12270780</v>
      </c>
      <c r="E557" s="46">
        <v>0</v>
      </c>
      <c r="F557" s="46">
        <f t="shared" si="452"/>
        <v>27835720</v>
      </c>
      <c r="G557" s="47">
        <v>12622500</v>
      </c>
      <c r="H557" s="47">
        <v>3944200</v>
      </c>
      <c r="I557" s="47">
        <v>0</v>
      </c>
      <c r="J557" s="47">
        <f t="shared" si="438"/>
        <v>16566700</v>
      </c>
      <c r="K557" s="47"/>
      <c r="L557" s="47"/>
      <c r="M557" s="47"/>
      <c r="N557" s="47">
        <f t="shared" si="442"/>
        <v>0</v>
      </c>
      <c r="O557" s="47">
        <f t="shared" si="415"/>
        <v>12622500</v>
      </c>
      <c r="P557" s="47">
        <f t="shared" si="416"/>
        <v>3944200</v>
      </c>
      <c r="Q557" s="47">
        <f t="shared" si="417"/>
        <v>0</v>
      </c>
      <c r="R557" s="47">
        <f t="shared" si="418"/>
        <v>16566700</v>
      </c>
      <c r="S557" s="79">
        <f t="shared" si="440"/>
        <v>81.095718968399495</v>
      </c>
      <c r="T557" s="79">
        <f t="shared" si="459"/>
        <v>32.143025952710424</v>
      </c>
      <c r="U557" s="79">
        <v>0</v>
      </c>
      <c r="V557" s="79">
        <f t="shared" si="441"/>
        <v>59.515974438599038</v>
      </c>
      <c r="W557" s="47">
        <f t="shared" si="436"/>
        <v>11269020</v>
      </c>
      <c r="X557" s="247">
        <f t="shared" si="451"/>
        <v>12622500</v>
      </c>
      <c r="Y557" s="247">
        <f t="shared" si="447"/>
        <v>3944200</v>
      </c>
      <c r="Z557" s="247">
        <f t="shared" si="448"/>
        <v>0</v>
      </c>
      <c r="AA557" s="93"/>
    </row>
    <row r="558" spans="1:27">
      <c r="A558" s="44" t="s">
        <v>227</v>
      </c>
      <c r="B558" s="45" t="s">
        <v>115</v>
      </c>
      <c r="C558" s="46">
        <v>4298825</v>
      </c>
      <c r="D558" s="46">
        <f>1782800</f>
        <v>1782800</v>
      </c>
      <c r="E558" s="46">
        <v>0</v>
      </c>
      <c r="F558" s="46">
        <f t="shared" si="452"/>
        <v>6081625</v>
      </c>
      <c r="G558" s="47">
        <v>4759600</v>
      </c>
      <c r="H558" s="47">
        <v>1242000</v>
      </c>
      <c r="I558" s="47">
        <v>0</v>
      </c>
      <c r="J558" s="47">
        <f t="shared" si="438"/>
        <v>6001600</v>
      </c>
      <c r="K558" s="250"/>
      <c r="L558" s="250"/>
      <c r="M558" s="47"/>
      <c r="N558" s="47">
        <f t="shared" si="442"/>
        <v>0</v>
      </c>
      <c r="O558" s="47">
        <f t="shared" si="415"/>
        <v>4759600</v>
      </c>
      <c r="P558" s="47">
        <f t="shared" si="416"/>
        <v>1242000</v>
      </c>
      <c r="Q558" s="47">
        <f t="shared" si="417"/>
        <v>0</v>
      </c>
      <c r="R558" s="47">
        <f t="shared" si="418"/>
        <v>6001600</v>
      </c>
      <c r="S558" s="79">
        <f t="shared" si="440"/>
        <v>110.71862660145504</v>
      </c>
      <c r="T558" s="79">
        <f t="shared" si="459"/>
        <v>69.66569441328248</v>
      </c>
      <c r="U558" s="79">
        <v>0</v>
      </c>
      <c r="V558" s="79">
        <f t="shared" si="441"/>
        <v>98.684151028713543</v>
      </c>
      <c r="W558" s="47">
        <f t="shared" si="436"/>
        <v>80025</v>
      </c>
      <c r="X558" s="247">
        <f t="shared" si="451"/>
        <v>4759600</v>
      </c>
      <c r="Y558" s="247">
        <f t="shared" si="447"/>
        <v>1242000</v>
      </c>
      <c r="Z558" s="247">
        <f t="shared" si="448"/>
        <v>0</v>
      </c>
      <c r="AA558" s="93"/>
    </row>
    <row r="559" spans="1:27">
      <c r="A559" s="44" t="s">
        <v>295</v>
      </c>
      <c r="B559" s="45" t="s">
        <v>116</v>
      </c>
      <c r="C559" s="95">
        <v>0</v>
      </c>
      <c r="D559" s="95">
        <v>6472472</v>
      </c>
      <c r="E559" s="46">
        <v>0</v>
      </c>
      <c r="F559" s="46">
        <f t="shared" si="452"/>
        <v>6472472</v>
      </c>
      <c r="G559" s="47">
        <v>0</v>
      </c>
      <c r="H559" s="47">
        <v>6432450</v>
      </c>
      <c r="I559" s="47">
        <v>0</v>
      </c>
      <c r="J559" s="47">
        <f t="shared" si="438"/>
        <v>6432450</v>
      </c>
      <c r="K559" s="47"/>
      <c r="L559" s="47"/>
      <c r="M559" s="47"/>
      <c r="N559" s="47">
        <f t="shared" si="442"/>
        <v>0</v>
      </c>
      <c r="O559" s="47">
        <f t="shared" si="415"/>
        <v>0</v>
      </c>
      <c r="P559" s="47">
        <f t="shared" si="416"/>
        <v>6432450</v>
      </c>
      <c r="Q559" s="47">
        <f t="shared" si="417"/>
        <v>0</v>
      </c>
      <c r="R559" s="47">
        <f t="shared" si="418"/>
        <v>6432450</v>
      </c>
      <c r="S559" s="79">
        <v>0</v>
      </c>
      <c r="T559" s="79">
        <f t="shared" si="459"/>
        <v>99.381658197980613</v>
      </c>
      <c r="U559" s="79">
        <v>0</v>
      </c>
      <c r="V559" s="79">
        <f t="shared" si="441"/>
        <v>99.381658197980613</v>
      </c>
      <c r="W559" s="47">
        <f t="shared" si="436"/>
        <v>40022</v>
      </c>
      <c r="X559" s="247">
        <f t="shared" si="451"/>
        <v>0</v>
      </c>
      <c r="Y559" s="247">
        <f t="shared" si="447"/>
        <v>6432450</v>
      </c>
      <c r="Z559" s="247">
        <f t="shared" si="448"/>
        <v>0</v>
      </c>
      <c r="AA559" s="93"/>
    </row>
    <row r="560" spans="1:27" ht="19.5" customHeight="1">
      <c r="A560" s="44" t="s">
        <v>231</v>
      </c>
      <c r="B560" s="45" t="s">
        <v>119</v>
      </c>
      <c r="C560" s="95">
        <f>3000000+4220700+7585200+3150000</f>
        <v>17955900</v>
      </c>
      <c r="D560" s="95">
        <f>3000000+12150000+11250000+10500000</f>
        <v>36900000</v>
      </c>
      <c r="E560" s="46">
        <v>0</v>
      </c>
      <c r="F560" s="46">
        <f t="shared" si="452"/>
        <v>54855900</v>
      </c>
      <c r="G560" s="47">
        <v>20793075</v>
      </c>
      <c r="H560" s="47">
        <v>26363400</v>
      </c>
      <c r="I560" s="47">
        <v>0</v>
      </c>
      <c r="J560" s="47">
        <f t="shared" si="438"/>
        <v>47156475</v>
      </c>
      <c r="K560" s="47"/>
      <c r="L560" s="47"/>
      <c r="M560" s="47"/>
      <c r="N560" s="47">
        <f t="shared" si="442"/>
        <v>0</v>
      </c>
      <c r="O560" s="47">
        <f t="shared" si="415"/>
        <v>20793075</v>
      </c>
      <c r="P560" s="47">
        <f t="shared" si="416"/>
        <v>26363400</v>
      </c>
      <c r="Q560" s="47">
        <f t="shared" si="417"/>
        <v>0</v>
      </c>
      <c r="R560" s="47">
        <f t="shared" si="418"/>
        <v>47156475</v>
      </c>
      <c r="S560" s="79">
        <f t="shared" si="440"/>
        <v>115.80079528177367</v>
      </c>
      <c r="T560" s="79">
        <f t="shared" si="459"/>
        <v>71.44552845528456</v>
      </c>
      <c r="U560" s="79">
        <v>0</v>
      </c>
      <c r="V560" s="79">
        <f t="shared" si="441"/>
        <v>85.96427184678403</v>
      </c>
      <c r="W560" s="47">
        <f t="shared" si="436"/>
        <v>7699425</v>
      </c>
      <c r="X560" s="247">
        <f t="shared" si="451"/>
        <v>20793075</v>
      </c>
      <c r="Y560" s="247">
        <f t="shared" si="447"/>
        <v>26363400</v>
      </c>
      <c r="Z560" s="247">
        <f t="shared" si="448"/>
        <v>0</v>
      </c>
      <c r="AA560" s="93"/>
    </row>
    <row r="561" spans="1:27">
      <c r="A561" s="44" t="s">
        <v>296</v>
      </c>
      <c r="B561" s="45" t="s">
        <v>297</v>
      </c>
      <c r="C561" s="46">
        <f>9320400+17000</f>
        <v>9337400</v>
      </c>
      <c r="D561" s="46">
        <f>60000+534000</f>
        <v>594000</v>
      </c>
      <c r="E561" s="46">
        <v>0</v>
      </c>
      <c r="F561" s="46">
        <f t="shared" si="452"/>
        <v>9931400</v>
      </c>
      <c r="G561" s="47">
        <v>9516799</v>
      </c>
      <c r="H561" s="47">
        <v>0</v>
      </c>
      <c r="I561" s="47">
        <v>0</v>
      </c>
      <c r="J561" s="47">
        <f t="shared" si="438"/>
        <v>9516799</v>
      </c>
      <c r="K561" s="250"/>
      <c r="L561" s="47"/>
      <c r="M561" s="47"/>
      <c r="N561" s="47">
        <f t="shared" si="442"/>
        <v>0</v>
      </c>
      <c r="O561" s="47">
        <f t="shared" si="415"/>
        <v>9516799</v>
      </c>
      <c r="P561" s="47">
        <f t="shared" si="416"/>
        <v>0</v>
      </c>
      <c r="Q561" s="47">
        <f t="shared" si="417"/>
        <v>0</v>
      </c>
      <c r="R561" s="47">
        <f t="shared" si="418"/>
        <v>9516799</v>
      </c>
      <c r="S561" s="79">
        <f t="shared" si="440"/>
        <v>101.92129500717544</v>
      </c>
      <c r="T561" s="79">
        <f t="shared" si="459"/>
        <v>0</v>
      </c>
      <c r="U561" s="79">
        <v>0</v>
      </c>
      <c r="V561" s="79">
        <f t="shared" si="441"/>
        <v>95.825351914130934</v>
      </c>
      <c r="W561" s="47">
        <f t="shared" si="436"/>
        <v>414601</v>
      </c>
      <c r="X561" s="247">
        <f t="shared" si="451"/>
        <v>9516799</v>
      </c>
      <c r="Y561" s="247">
        <f t="shared" si="447"/>
        <v>0</v>
      </c>
      <c r="Z561" s="247">
        <f t="shared" si="448"/>
        <v>0</v>
      </c>
      <c r="AA561" s="93"/>
    </row>
    <row r="562" spans="1:27">
      <c r="A562" s="44" t="s">
        <v>322</v>
      </c>
      <c r="B562" s="45" t="s">
        <v>323</v>
      </c>
      <c r="C562" s="46">
        <v>19752500</v>
      </c>
      <c r="D562" s="46">
        <v>0</v>
      </c>
      <c r="E562" s="46">
        <v>0</v>
      </c>
      <c r="F562" s="46">
        <f t="shared" si="452"/>
        <v>19752500</v>
      </c>
      <c r="G562" s="47">
        <v>13875000</v>
      </c>
      <c r="H562" s="47">
        <v>0</v>
      </c>
      <c r="I562" s="47">
        <v>0</v>
      </c>
      <c r="J562" s="47">
        <f t="shared" si="438"/>
        <v>13875000</v>
      </c>
      <c r="K562" s="47"/>
      <c r="L562" s="47"/>
      <c r="M562" s="47"/>
      <c r="N562" s="47">
        <f t="shared" si="442"/>
        <v>0</v>
      </c>
      <c r="O562" s="47">
        <f t="shared" si="415"/>
        <v>13875000</v>
      </c>
      <c r="P562" s="47">
        <f t="shared" si="416"/>
        <v>0</v>
      </c>
      <c r="Q562" s="47">
        <f t="shared" si="417"/>
        <v>0</v>
      </c>
      <c r="R562" s="47">
        <f t="shared" si="418"/>
        <v>13875000</v>
      </c>
      <c r="S562" s="79">
        <f t="shared" si="440"/>
        <v>70.244272876851028</v>
      </c>
      <c r="T562" s="79">
        <v>0</v>
      </c>
      <c r="U562" s="79">
        <v>0</v>
      </c>
      <c r="V562" s="79">
        <f t="shared" si="441"/>
        <v>70.244272876851028</v>
      </c>
      <c r="W562" s="47">
        <f t="shared" si="436"/>
        <v>5877500</v>
      </c>
      <c r="X562" s="247">
        <f t="shared" si="451"/>
        <v>13875000</v>
      </c>
      <c r="Y562" s="247">
        <f t="shared" si="447"/>
        <v>0</v>
      </c>
      <c r="Z562" s="247">
        <f t="shared" si="448"/>
        <v>0</v>
      </c>
      <c r="AA562" s="93"/>
    </row>
    <row r="563" spans="1:27">
      <c r="A563" s="44" t="s">
        <v>124</v>
      </c>
      <c r="B563" s="45" t="s">
        <v>125</v>
      </c>
      <c r="C563" s="46">
        <f>4550000+3350000+31500000</f>
        <v>39400000</v>
      </c>
      <c r="D563" s="46">
        <f>5460000+8190000+8190000+30000000+5460000</f>
        <v>57300000</v>
      </c>
      <c r="E563" s="46">
        <v>0</v>
      </c>
      <c r="F563" s="46">
        <f t="shared" si="452"/>
        <v>96700000</v>
      </c>
      <c r="G563" s="47">
        <v>36050000</v>
      </c>
      <c r="H563" s="47">
        <v>21840000</v>
      </c>
      <c r="I563" s="47">
        <v>0</v>
      </c>
      <c r="J563" s="47">
        <f t="shared" si="438"/>
        <v>57890000</v>
      </c>
      <c r="K563" s="47"/>
      <c r="L563" s="47"/>
      <c r="M563" s="47"/>
      <c r="N563" s="47">
        <f t="shared" si="442"/>
        <v>0</v>
      </c>
      <c r="O563" s="47">
        <f t="shared" si="415"/>
        <v>36050000</v>
      </c>
      <c r="P563" s="47">
        <f t="shared" si="416"/>
        <v>21840000</v>
      </c>
      <c r="Q563" s="47">
        <f t="shared" si="417"/>
        <v>0</v>
      </c>
      <c r="R563" s="47">
        <f t="shared" si="418"/>
        <v>57890000</v>
      </c>
      <c r="S563" s="79">
        <f t="shared" si="440"/>
        <v>91.497461928934015</v>
      </c>
      <c r="T563" s="79">
        <f t="shared" si="459"/>
        <v>38.1151832460733</v>
      </c>
      <c r="U563" s="79">
        <v>0</v>
      </c>
      <c r="V563" s="79">
        <f t="shared" si="441"/>
        <v>59.865563598759053</v>
      </c>
      <c r="W563" s="47">
        <f t="shared" si="436"/>
        <v>38810000</v>
      </c>
      <c r="X563" s="247">
        <f t="shared" si="451"/>
        <v>36050000</v>
      </c>
      <c r="Y563" s="247">
        <f t="shared" si="447"/>
        <v>21840000</v>
      </c>
      <c r="Z563" s="247">
        <f t="shared" si="448"/>
        <v>0</v>
      </c>
      <c r="AA563" s="93"/>
    </row>
    <row r="564" spans="1:27">
      <c r="A564" s="44" t="s">
        <v>137</v>
      </c>
      <c r="B564" s="45" t="s">
        <v>138</v>
      </c>
      <c r="C564" s="46">
        <f>8100000+9100000</f>
        <v>17200000</v>
      </c>
      <c r="D564" s="46">
        <f>16200000+13500000+13500000+8100000+4500000</f>
        <v>55800000</v>
      </c>
      <c r="E564" s="46">
        <v>0</v>
      </c>
      <c r="F564" s="46">
        <f t="shared" si="452"/>
        <v>73000000</v>
      </c>
      <c r="G564" s="47">
        <v>16156000</v>
      </c>
      <c r="H564" s="47">
        <v>38700000</v>
      </c>
      <c r="I564" s="47">
        <v>0</v>
      </c>
      <c r="J564" s="47">
        <f t="shared" si="438"/>
        <v>54856000</v>
      </c>
      <c r="K564" s="47"/>
      <c r="L564" s="250"/>
      <c r="M564" s="47"/>
      <c r="N564" s="47">
        <f t="shared" si="442"/>
        <v>0</v>
      </c>
      <c r="O564" s="47">
        <f t="shared" si="415"/>
        <v>16156000</v>
      </c>
      <c r="P564" s="47">
        <f t="shared" si="416"/>
        <v>38700000</v>
      </c>
      <c r="Q564" s="47">
        <f t="shared" si="417"/>
        <v>0</v>
      </c>
      <c r="R564" s="47">
        <f t="shared" si="418"/>
        <v>54856000</v>
      </c>
      <c r="S564" s="79">
        <f t="shared" si="440"/>
        <v>93.930232558139537</v>
      </c>
      <c r="T564" s="79">
        <f t="shared" si="459"/>
        <v>69.354838709677423</v>
      </c>
      <c r="U564" s="79">
        <v>0</v>
      </c>
      <c r="V564" s="79">
        <f t="shared" si="441"/>
        <v>75.145205479452059</v>
      </c>
      <c r="W564" s="47">
        <f t="shared" si="436"/>
        <v>18144000</v>
      </c>
      <c r="X564" s="247">
        <f t="shared" si="451"/>
        <v>16156000</v>
      </c>
      <c r="Y564" s="247">
        <f t="shared" si="447"/>
        <v>38700000</v>
      </c>
      <c r="Z564" s="247">
        <f t="shared" si="448"/>
        <v>0</v>
      </c>
      <c r="AA564" s="93"/>
    </row>
    <row r="565" spans="1:27">
      <c r="A565" s="44" t="s">
        <v>304</v>
      </c>
      <c r="B565" s="45" t="s">
        <v>305</v>
      </c>
      <c r="C565" s="46">
        <v>100000</v>
      </c>
      <c r="D565" s="46">
        <v>0</v>
      </c>
      <c r="E565" s="46">
        <v>0</v>
      </c>
      <c r="F565" s="46">
        <f t="shared" si="452"/>
        <v>100000</v>
      </c>
      <c r="G565" s="47">
        <v>0</v>
      </c>
      <c r="H565" s="47">
        <v>0</v>
      </c>
      <c r="I565" s="47">
        <v>0</v>
      </c>
      <c r="J565" s="47">
        <f t="shared" si="438"/>
        <v>0</v>
      </c>
      <c r="K565" s="47"/>
      <c r="L565" s="47"/>
      <c r="M565" s="47"/>
      <c r="N565" s="47">
        <f t="shared" si="442"/>
        <v>0</v>
      </c>
      <c r="O565" s="47">
        <f t="shared" si="415"/>
        <v>0</v>
      </c>
      <c r="P565" s="47">
        <f t="shared" si="416"/>
        <v>0</v>
      </c>
      <c r="Q565" s="47">
        <f t="shared" si="417"/>
        <v>0</v>
      </c>
      <c r="R565" s="47">
        <f t="shared" si="418"/>
        <v>0</v>
      </c>
      <c r="S565" s="79">
        <f t="shared" si="440"/>
        <v>0</v>
      </c>
      <c r="T565" s="79">
        <v>0</v>
      </c>
      <c r="U565" s="79">
        <v>0</v>
      </c>
      <c r="V565" s="79">
        <f t="shared" si="441"/>
        <v>0</v>
      </c>
      <c r="W565" s="47">
        <f t="shared" si="436"/>
        <v>100000</v>
      </c>
      <c r="X565" s="247">
        <f t="shared" si="451"/>
        <v>0</v>
      </c>
      <c r="Y565" s="247">
        <f t="shared" si="447"/>
        <v>0</v>
      </c>
      <c r="Z565" s="247">
        <f t="shared" si="448"/>
        <v>0</v>
      </c>
      <c r="AA565" s="93"/>
    </row>
    <row r="566" spans="1:27">
      <c r="A566" s="44" t="s">
        <v>300</v>
      </c>
      <c r="B566" s="45" t="s">
        <v>301</v>
      </c>
      <c r="C566" s="46">
        <v>48840000</v>
      </c>
      <c r="D566" s="46">
        <v>0</v>
      </c>
      <c r="E566" s="46">
        <v>0</v>
      </c>
      <c r="F566" s="46">
        <f t="shared" si="452"/>
        <v>48840000</v>
      </c>
      <c r="G566" s="47">
        <v>17380000</v>
      </c>
      <c r="H566" s="47">
        <v>0</v>
      </c>
      <c r="I566" s="47">
        <v>0</v>
      </c>
      <c r="J566" s="47">
        <f t="shared" si="438"/>
        <v>17380000</v>
      </c>
      <c r="K566" s="47"/>
      <c r="L566" s="47"/>
      <c r="M566" s="47"/>
      <c r="N566" s="47">
        <f t="shared" si="442"/>
        <v>0</v>
      </c>
      <c r="O566" s="47">
        <f t="shared" si="415"/>
        <v>17380000</v>
      </c>
      <c r="P566" s="47">
        <f t="shared" si="416"/>
        <v>0</v>
      </c>
      <c r="Q566" s="47">
        <f t="shared" si="417"/>
        <v>0</v>
      </c>
      <c r="R566" s="47">
        <f t="shared" si="418"/>
        <v>17380000</v>
      </c>
      <c r="S566" s="79">
        <f t="shared" si="440"/>
        <v>35.585585585585584</v>
      </c>
      <c r="T566" s="79">
        <v>0</v>
      </c>
      <c r="U566" s="79">
        <v>0</v>
      </c>
      <c r="V566" s="79">
        <f t="shared" si="441"/>
        <v>35.585585585585584</v>
      </c>
      <c r="W566" s="47">
        <f t="shared" si="436"/>
        <v>31460000</v>
      </c>
      <c r="X566" s="247">
        <f t="shared" si="451"/>
        <v>17380000</v>
      </c>
      <c r="Y566" s="247">
        <f t="shared" si="447"/>
        <v>0</v>
      </c>
      <c r="Z566" s="247">
        <f t="shared" si="448"/>
        <v>0</v>
      </c>
      <c r="AA566" s="93"/>
    </row>
    <row r="567" spans="1:27">
      <c r="A567" s="44" t="s">
        <v>187</v>
      </c>
      <c r="B567" s="45" t="s">
        <v>188</v>
      </c>
      <c r="C567" s="46">
        <v>12500000</v>
      </c>
      <c r="D567" s="46">
        <v>0</v>
      </c>
      <c r="E567" s="46">
        <v>0</v>
      </c>
      <c r="F567" s="46">
        <f t="shared" si="452"/>
        <v>12500000</v>
      </c>
      <c r="G567" s="47">
        <v>12498600</v>
      </c>
      <c r="H567" s="47">
        <v>0</v>
      </c>
      <c r="I567" s="47">
        <v>0</v>
      </c>
      <c r="J567" s="47">
        <f t="shared" si="438"/>
        <v>12498600</v>
      </c>
      <c r="K567" s="47"/>
      <c r="L567" s="47"/>
      <c r="M567" s="47"/>
      <c r="N567" s="47">
        <f t="shared" si="442"/>
        <v>0</v>
      </c>
      <c r="O567" s="47">
        <f t="shared" si="415"/>
        <v>12498600</v>
      </c>
      <c r="P567" s="47">
        <f t="shared" si="416"/>
        <v>0</v>
      </c>
      <c r="Q567" s="47">
        <f t="shared" si="417"/>
        <v>0</v>
      </c>
      <c r="R567" s="47">
        <f t="shared" si="418"/>
        <v>12498600</v>
      </c>
      <c r="S567" s="79">
        <f t="shared" si="440"/>
        <v>99.988799999999998</v>
      </c>
      <c r="T567" s="79">
        <v>0</v>
      </c>
      <c r="U567" s="79">
        <v>0</v>
      </c>
      <c r="V567" s="79">
        <f t="shared" si="441"/>
        <v>99.988799999999998</v>
      </c>
      <c r="W567" s="47">
        <f t="shared" si="436"/>
        <v>1400</v>
      </c>
      <c r="X567" s="247">
        <f t="shared" si="451"/>
        <v>12498600</v>
      </c>
      <c r="Y567" s="247">
        <f t="shared" si="447"/>
        <v>0</v>
      </c>
      <c r="Z567" s="247">
        <f t="shared" si="448"/>
        <v>0</v>
      </c>
      <c r="AA567" s="93"/>
    </row>
    <row r="568" spans="1:27">
      <c r="A568" s="44" t="s">
        <v>382</v>
      </c>
      <c r="B568" s="45" t="s">
        <v>494</v>
      </c>
      <c r="C568" s="46">
        <f>14000000</f>
        <v>14000000</v>
      </c>
      <c r="D568" s="46">
        <f>20000000</f>
        <v>20000000</v>
      </c>
      <c r="E568" s="46">
        <v>0</v>
      </c>
      <c r="F568" s="46">
        <f t="shared" si="452"/>
        <v>34000000</v>
      </c>
      <c r="G568" s="47">
        <v>9000000</v>
      </c>
      <c r="H568" s="47">
        <v>15000000</v>
      </c>
      <c r="I568" s="47">
        <v>0</v>
      </c>
      <c r="J568" s="47">
        <f t="shared" si="438"/>
        <v>24000000</v>
      </c>
      <c r="K568" s="250"/>
      <c r="L568" s="250"/>
      <c r="M568" s="47"/>
      <c r="N568" s="47">
        <f t="shared" si="442"/>
        <v>0</v>
      </c>
      <c r="O568" s="47">
        <f t="shared" si="415"/>
        <v>9000000</v>
      </c>
      <c r="P568" s="47">
        <f t="shared" si="416"/>
        <v>15000000</v>
      </c>
      <c r="Q568" s="47">
        <f t="shared" si="417"/>
        <v>0</v>
      </c>
      <c r="R568" s="47">
        <f t="shared" si="418"/>
        <v>24000000</v>
      </c>
      <c r="S568" s="79">
        <f t="shared" si="440"/>
        <v>64.285714285714292</v>
      </c>
      <c r="T568" s="79">
        <f t="shared" si="459"/>
        <v>75</v>
      </c>
      <c r="U568" s="79">
        <v>0</v>
      </c>
      <c r="V568" s="79">
        <f t="shared" si="441"/>
        <v>70.588235294117652</v>
      </c>
      <c r="W568" s="47">
        <f t="shared" si="436"/>
        <v>10000000</v>
      </c>
      <c r="X568" s="247">
        <f t="shared" si="451"/>
        <v>9000000</v>
      </c>
      <c r="Y568" s="247">
        <f t="shared" si="447"/>
        <v>15000000</v>
      </c>
      <c r="Z568" s="247">
        <f t="shared" si="448"/>
        <v>0</v>
      </c>
      <c r="AA568" s="93"/>
    </row>
    <row r="569" spans="1:27">
      <c r="A569" s="44" t="s">
        <v>100</v>
      </c>
      <c r="B569" s="45" t="s">
        <v>101</v>
      </c>
      <c r="C569" s="46">
        <f>16800000+42000000+21000000+43800000+92400000+80400000+69000000</f>
        <v>365400000</v>
      </c>
      <c r="D569" s="46">
        <f>47400000+42000000+63000000+63000000+77400000+69000000+42000000</f>
        <v>403800000</v>
      </c>
      <c r="E569" s="46">
        <v>0</v>
      </c>
      <c r="F569" s="46">
        <f t="shared" si="452"/>
        <v>769200000</v>
      </c>
      <c r="G569" s="47">
        <v>242309696</v>
      </c>
      <c r="H569" s="47">
        <v>237989110</v>
      </c>
      <c r="I569" s="47">
        <v>0</v>
      </c>
      <c r="J569" s="47">
        <f t="shared" si="438"/>
        <v>480298806</v>
      </c>
      <c r="K569" s="47"/>
      <c r="L569" s="250"/>
      <c r="M569" s="80"/>
      <c r="N569" s="47">
        <f t="shared" si="442"/>
        <v>0</v>
      </c>
      <c r="O569" s="47">
        <f t="shared" si="415"/>
        <v>242309696</v>
      </c>
      <c r="P569" s="47">
        <f t="shared" si="416"/>
        <v>237989110</v>
      </c>
      <c r="Q569" s="47">
        <f t="shared" si="417"/>
        <v>0</v>
      </c>
      <c r="R569" s="47">
        <f t="shared" si="418"/>
        <v>480298806</v>
      </c>
      <c r="S569" s="79">
        <f t="shared" si="440"/>
        <v>66.313545703338804</v>
      </c>
      <c r="T569" s="79">
        <f t="shared" si="459"/>
        <v>58.937372461614657</v>
      </c>
      <c r="U569" s="79">
        <v>0</v>
      </c>
      <c r="V569" s="79">
        <f t="shared" si="441"/>
        <v>62.441342433697343</v>
      </c>
      <c r="W569" s="47">
        <f t="shared" si="436"/>
        <v>288901194</v>
      </c>
      <c r="X569" s="247">
        <f t="shared" si="451"/>
        <v>242309696</v>
      </c>
      <c r="Y569" s="247">
        <f t="shared" si="447"/>
        <v>237989110</v>
      </c>
      <c r="Z569" s="247">
        <f t="shared" si="448"/>
        <v>0</v>
      </c>
      <c r="AA569" s="93"/>
    </row>
    <row r="570" spans="1:27" s="15" customFormat="1" ht="18">
      <c r="A570" s="135"/>
      <c r="B570" s="142" t="s">
        <v>25</v>
      </c>
      <c r="C570" s="136">
        <f>C571+C636</f>
        <v>9944030510</v>
      </c>
      <c r="D570" s="136">
        <f>D571+D636</f>
        <v>0</v>
      </c>
      <c r="E570" s="136">
        <f>E571+E636</f>
        <v>0</v>
      </c>
      <c r="F570" s="136">
        <f t="shared" si="452"/>
        <v>9944030510</v>
      </c>
      <c r="G570" s="136">
        <f t="shared" ref="G570:I570" si="462">G571+G636</f>
        <v>4962638906.2600002</v>
      </c>
      <c r="H570" s="136">
        <f t="shared" si="462"/>
        <v>0</v>
      </c>
      <c r="I570" s="136">
        <f t="shared" si="462"/>
        <v>0</v>
      </c>
      <c r="J570" s="136">
        <f t="shared" si="438"/>
        <v>4962638906.2600002</v>
      </c>
      <c r="K570" s="136">
        <f t="shared" ref="K570:M570" si="463">K571+K636</f>
        <v>0</v>
      </c>
      <c r="L570" s="136">
        <f t="shared" si="463"/>
        <v>0</v>
      </c>
      <c r="M570" s="136">
        <f t="shared" si="463"/>
        <v>0</v>
      </c>
      <c r="N570" s="136">
        <f t="shared" si="442"/>
        <v>0</v>
      </c>
      <c r="O570" s="136">
        <f t="shared" si="415"/>
        <v>4962638906.2600002</v>
      </c>
      <c r="P570" s="136">
        <f t="shared" si="416"/>
        <v>0</v>
      </c>
      <c r="Q570" s="136">
        <f t="shared" si="417"/>
        <v>0</v>
      </c>
      <c r="R570" s="136">
        <f t="shared" si="418"/>
        <v>4962638906.2600002</v>
      </c>
      <c r="S570" s="139">
        <f t="shared" si="440"/>
        <v>49.90570876939114</v>
      </c>
      <c r="T570" s="139">
        <v>0</v>
      </c>
      <c r="U570" s="139">
        <v>0</v>
      </c>
      <c r="V570" s="139">
        <f t="shared" si="441"/>
        <v>49.90570876939114</v>
      </c>
      <c r="W570" s="136">
        <f t="shared" si="436"/>
        <v>4981391603.7399998</v>
      </c>
      <c r="X570" s="247">
        <f t="shared" si="451"/>
        <v>4962638906.2600002</v>
      </c>
      <c r="Y570" s="247">
        <f t="shared" si="447"/>
        <v>0</v>
      </c>
      <c r="Z570" s="247">
        <f t="shared" si="448"/>
        <v>0</v>
      </c>
      <c r="AA570" s="93"/>
    </row>
    <row r="571" spans="1:27" s="16" customFormat="1" ht="18">
      <c r="A571" s="35" t="s">
        <v>35</v>
      </c>
      <c r="B571" s="125" t="s">
        <v>36</v>
      </c>
      <c r="C571" s="117">
        <f>C572+C580+C586+C603+C612+C623+C576</f>
        <v>5891270510</v>
      </c>
      <c r="D571" s="117">
        <f>D572+D580+D586+D603+D612+D623</f>
        <v>0</v>
      </c>
      <c r="E571" s="117">
        <f>E572+E580+E586+E603+E612+E623</f>
        <v>0</v>
      </c>
      <c r="F571" s="117">
        <f t="shared" si="452"/>
        <v>5891270510</v>
      </c>
      <c r="G571" s="117">
        <f>G572+G576+G580+G586+G603+G612+G623</f>
        <v>1800973934</v>
      </c>
      <c r="H571" s="117">
        <f t="shared" ref="H571:I571" si="464">H572+H576+H580+H586+H603+H612+H623</f>
        <v>0</v>
      </c>
      <c r="I571" s="117">
        <f t="shared" si="464"/>
        <v>0</v>
      </c>
      <c r="J571" s="117">
        <f t="shared" si="438"/>
        <v>1800973934</v>
      </c>
      <c r="K571" s="117">
        <f t="shared" ref="K571:M571" si="465">K572+K580+K586+K603+K612+K623</f>
        <v>0</v>
      </c>
      <c r="L571" s="117">
        <f t="shared" si="465"/>
        <v>0</v>
      </c>
      <c r="M571" s="117">
        <f t="shared" si="465"/>
        <v>0</v>
      </c>
      <c r="N571" s="117">
        <f t="shared" si="442"/>
        <v>0</v>
      </c>
      <c r="O571" s="117">
        <f t="shared" ref="O571:O634" si="466">K571+G571</f>
        <v>1800973934</v>
      </c>
      <c r="P571" s="117">
        <f t="shared" ref="P571:P634" si="467">L571+H571</f>
        <v>0</v>
      </c>
      <c r="Q571" s="117">
        <f t="shared" ref="Q571:Q634" si="468">M571+I571</f>
        <v>0</v>
      </c>
      <c r="R571" s="117">
        <f t="shared" ref="R571:R634" si="469">SUM(O571:Q571)</f>
        <v>1800973934</v>
      </c>
      <c r="S571" s="128">
        <f t="shared" si="440"/>
        <v>30.570212841915488</v>
      </c>
      <c r="T571" s="128">
        <v>0</v>
      </c>
      <c r="U571" s="128">
        <v>0</v>
      </c>
      <c r="V571" s="128">
        <f t="shared" si="441"/>
        <v>30.570212841915488</v>
      </c>
      <c r="W571" s="117">
        <f t="shared" si="436"/>
        <v>4090296576</v>
      </c>
      <c r="X571" s="247">
        <f t="shared" si="451"/>
        <v>1800973934</v>
      </c>
      <c r="Y571" s="247">
        <f t="shared" si="447"/>
        <v>0</v>
      </c>
      <c r="Z571" s="247">
        <f t="shared" si="448"/>
        <v>0</v>
      </c>
      <c r="AA571" s="93"/>
    </row>
    <row r="572" spans="1:27" s="4" customFormat="1" ht="20.25" customHeight="1">
      <c r="A572" s="38" t="s">
        <v>37</v>
      </c>
      <c r="B572" s="137" t="s">
        <v>38</v>
      </c>
      <c r="C572" s="40">
        <f>C573</f>
        <v>84960000</v>
      </c>
      <c r="D572" s="40">
        <f>D573</f>
        <v>0</v>
      </c>
      <c r="E572" s="40">
        <f>E573</f>
        <v>0</v>
      </c>
      <c r="F572" s="40">
        <f t="shared" si="452"/>
        <v>84960000</v>
      </c>
      <c r="G572" s="40">
        <f t="shared" ref="G572:I572" si="470">G573</f>
        <v>37200000</v>
      </c>
      <c r="H572" s="40">
        <f t="shared" si="470"/>
        <v>0</v>
      </c>
      <c r="I572" s="40">
        <f t="shared" si="470"/>
        <v>0</v>
      </c>
      <c r="J572" s="40">
        <f t="shared" si="438"/>
        <v>37200000</v>
      </c>
      <c r="K572" s="40">
        <f t="shared" ref="K572:M572" si="471">K573</f>
        <v>0</v>
      </c>
      <c r="L572" s="40">
        <f t="shared" si="471"/>
        <v>0</v>
      </c>
      <c r="M572" s="40">
        <f t="shared" si="471"/>
        <v>0</v>
      </c>
      <c r="N572" s="40">
        <f t="shared" si="442"/>
        <v>0</v>
      </c>
      <c r="O572" s="40">
        <f t="shared" si="466"/>
        <v>37200000</v>
      </c>
      <c r="P572" s="40">
        <f t="shared" si="467"/>
        <v>0</v>
      </c>
      <c r="Q572" s="40">
        <f t="shared" si="468"/>
        <v>0</v>
      </c>
      <c r="R572" s="40">
        <f t="shared" si="469"/>
        <v>37200000</v>
      </c>
      <c r="S572" s="77">
        <f t="shared" si="440"/>
        <v>43.78531073446328</v>
      </c>
      <c r="T572" s="77">
        <v>0</v>
      </c>
      <c r="U572" s="77">
        <v>0</v>
      </c>
      <c r="V572" s="77">
        <f t="shared" si="441"/>
        <v>43.78531073446328</v>
      </c>
      <c r="W572" s="40">
        <f t="shared" si="436"/>
        <v>47760000</v>
      </c>
      <c r="X572" s="247">
        <f t="shared" si="451"/>
        <v>37200000</v>
      </c>
      <c r="Y572" s="247">
        <f t="shared" si="447"/>
        <v>0</v>
      </c>
      <c r="Z572" s="247">
        <f t="shared" si="448"/>
        <v>0</v>
      </c>
      <c r="AA572" s="93"/>
    </row>
    <row r="573" spans="1:27" s="8" customFormat="1">
      <c r="A573" s="96" t="s">
        <v>86</v>
      </c>
      <c r="B573" s="96" t="s">
        <v>87</v>
      </c>
      <c r="C573" s="138">
        <f>SUM(C574:C575)</f>
        <v>84960000</v>
      </c>
      <c r="D573" s="138">
        <f t="shared" ref="D573:E573" si="472">SUM(D574:D574)</f>
        <v>0</v>
      </c>
      <c r="E573" s="138">
        <f t="shared" si="472"/>
        <v>0</v>
      </c>
      <c r="F573" s="138">
        <f t="shared" si="452"/>
        <v>84960000</v>
      </c>
      <c r="G573" s="138">
        <f>SUM(G574:G575)</f>
        <v>37200000</v>
      </c>
      <c r="H573" s="138">
        <f>SUM(H574:H575)</f>
        <v>0</v>
      </c>
      <c r="I573" s="138">
        <f>SUM(I574:I575)</f>
        <v>0</v>
      </c>
      <c r="J573" s="138">
        <f>G573+H573+I573</f>
        <v>37200000</v>
      </c>
      <c r="K573" s="138">
        <f>SUM(K574:K575)</f>
        <v>0</v>
      </c>
      <c r="L573" s="138">
        <f t="shared" ref="L573:M573" si="473">SUM(L574:L575)</f>
        <v>0</v>
      </c>
      <c r="M573" s="138">
        <f t="shared" si="473"/>
        <v>0</v>
      </c>
      <c r="N573" s="138">
        <f t="shared" si="442"/>
        <v>0</v>
      </c>
      <c r="O573" s="138">
        <f t="shared" si="466"/>
        <v>37200000</v>
      </c>
      <c r="P573" s="138">
        <f t="shared" si="467"/>
        <v>0</v>
      </c>
      <c r="Q573" s="138">
        <f t="shared" si="468"/>
        <v>0</v>
      </c>
      <c r="R573" s="138">
        <f t="shared" si="469"/>
        <v>37200000</v>
      </c>
      <c r="S573" s="140">
        <f t="shared" si="440"/>
        <v>43.78531073446328</v>
      </c>
      <c r="T573" s="140">
        <v>0</v>
      </c>
      <c r="U573" s="140">
        <v>0</v>
      </c>
      <c r="V573" s="140">
        <f t="shared" si="441"/>
        <v>43.78531073446328</v>
      </c>
      <c r="W573" s="138">
        <f t="shared" si="436"/>
        <v>47760000</v>
      </c>
      <c r="X573" s="247">
        <f t="shared" si="451"/>
        <v>37200000</v>
      </c>
      <c r="Y573" s="247">
        <f t="shared" si="447"/>
        <v>0</v>
      </c>
      <c r="Z573" s="247">
        <f t="shared" si="448"/>
        <v>0</v>
      </c>
      <c r="AA573" s="93"/>
    </row>
    <row r="574" spans="1:27">
      <c r="A574" s="97" t="s">
        <v>88</v>
      </c>
      <c r="B574" s="97" t="s">
        <v>89</v>
      </c>
      <c r="C574" s="98">
        <v>78120000</v>
      </c>
      <c r="D574" s="46">
        <v>0</v>
      </c>
      <c r="E574" s="46">
        <v>0</v>
      </c>
      <c r="F574" s="46">
        <f t="shared" si="452"/>
        <v>78120000</v>
      </c>
      <c r="G574" s="47">
        <v>33780000</v>
      </c>
      <c r="H574" s="47">
        <v>0</v>
      </c>
      <c r="I574" s="47">
        <v>0</v>
      </c>
      <c r="J574" s="47">
        <f t="shared" si="438"/>
        <v>33780000</v>
      </c>
      <c r="K574" s="47"/>
      <c r="L574" s="47"/>
      <c r="M574" s="47"/>
      <c r="N574" s="47">
        <f t="shared" si="442"/>
        <v>0</v>
      </c>
      <c r="O574" s="47">
        <f t="shared" si="466"/>
        <v>33780000</v>
      </c>
      <c r="P574" s="47">
        <f t="shared" si="467"/>
        <v>0</v>
      </c>
      <c r="Q574" s="47">
        <f t="shared" si="468"/>
        <v>0</v>
      </c>
      <c r="R574" s="47">
        <f t="shared" si="469"/>
        <v>33780000</v>
      </c>
      <c r="S574" s="79">
        <f t="shared" si="440"/>
        <v>43.24116743471582</v>
      </c>
      <c r="T574" s="79">
        <v>0</v>
      </c>
      <c r="U574" s="79">
        <v>0</v>
      </c>
      <c r="V574" s="79">
        <f t="shared" si="441"/>
        <v>43.24116743471582</v>
      </c>
      <c r="W574" s="47">
        <f t="shared" si="436"/>
        <v>44340000</v>
      </c>
      <c r="X574" s="247">
        <f t="shared" si="451"/>
        <v>33780000</v>
      </c>
      <c r="Y574" s="247">
        <f t="shared" si="447"/>
        <v>0</v>
      </c>
      <c r="Z574" s="247">
        <f t="shared" si="448"/>
        <v>0</v>
      </c>
      <c r="AA574" s="93"/>
    </row>
    <row r="575" spans="1:27">
      <c r="A575" s="97" t="s">
        <v>435</v>
      </c>
      <c r="B575" s="97" t="s">
        <v>436</v>
      </c>
      <c r="C575" s="98">
        <v>6840000</v>
      </c>
      <c r="D575" s="46"/>
      <c r="E575" s="46"/>
      <c r="F575" s="46">
        <f t="shared" si="452"/>
        <v>6840000</v>
      </c>
      <c r="G575" s="47">
        <v>3420000</v>
      </c>
      <c r="H575" s="47">
        <v>0</v>
      </c>
      <c r="I575" s="47">
        <v>0</v>
      </c>
      <c r="J575" s="47">
        <f t="shared" si="438"/>
        <v>3420000</v>
      </c>
      <c r="K575" s="47"/>
      <c r="L575" s="47"/>
      <c r="M575" s="47"/>
      <c r="N575" s="47">
        <f t="shared" si="442"/>
        <v>0</v>
      </c>
      <c r="O575" s="47">
        <f t="shared" si="466"/>
        <v>3420000</v>
      </c>
      <c r="P575" s="47">
        <f t="shared" si="467"/>
        <v>0</v>
      </c>
      <c r="Q575" s="47">
        <f t="shared" si="468"/>
        <v>0</v>
      </c>
      <c r="R575" s="47">
        <f t="shared" si="469"/>
        <v>3420000</v>
      </c>
      <c r="S575" s="79">
        <f t="shared" si="440"/>
        <v>50</v>
      </c>
      <c r="T575" s="79">
        <v>0</v>
      </c>
      <c r="U575" s="79">
        <v>0</v>
      </c>
      <c r="V575" s="79">
        <f t="shared" si="441"/>
        <v>50</v>
      </c>
      <c r="W575" s="47">
        <f t="shared" si="436"/>
        <v>3420000</v>
      </c>
      <c r="X575" s="247">
        <f t="shared" si="451"/>
        <v>3420000</v>
      </c>
      <c r="Y575" s="247">
        <f t="shared" si="447"/>
        <v>0</v>
      </c>
      <c r="Z575" s="247">
        <f t="shared" si="448"/>
        <v>0</v>
      </c>
      <c r="AA575" s="93"/>
    </row>
    <row r="576" spans="1:27" s="4" customFormat="1" ht="20.25" customHeight="1">
      <c r="A576" s="38" t="s">
        <v>466</v>
      </c>
      <c r="B576" s="137" t="s">
        <v>465</v>
      </c>
      <c r="C576" s="40">
        <f>C577</f>
        <v>13598325</v>
      </c>
      <c r="D576" s="40">
        <f>D577</f>
        <v>0</v>
      </c>
      <c r="E576" s="40">
        <f>E577</f>
        <v>0</v>
      </c>
      <c r="F576" s="40">
        <f t="shared" si="452"/>
        <v>13598325</v>
      </c>
      <c r="G576" s="40">
        <f t="shared" ref="G576:I576" si="474">G577</f>
        <v>398325</v>
      </c>
      <c r="H576" s="40">
        <f t="shared" si="474"/>
        <v>0</v>
      </c>
      <c r="I576" s="40">
        <f t="shared" si="474"/>
        <v>0</v>
      </c>
      <c r="J576" s="40">
        <f t="shared" si="438"/>
        <v>398325</v>
      </c>
      <c r="K576" s="40">
        <f t="shared" ref="K576:M576" si="475">K577</f>
        <v>0</v>
      </c>
      <c r="L576" s="40">
        <f t="shared" si="475"/>
        <v>0</v>
      </c>
      <c r="M576" s="40">
        <f t="shared" si="475"/>
        <v>0</v>
      </c>
      <c r="N576" s="40">
        <f t="shared" si="442"/>
        <v>0</v>
      </c>
      <c r="O576" s="40">
        <f t="shared" si="466"/>
        <v>398325</v>
      </c>
      <c r="P576" s="40">
        <f t="shared" si="467"/>
        <v>0</v>
      </c>
      <c r="Q576" s="40">
        <f t="shared" si="468"/>
        <v>0</v>
      </c>
      <c r="R576" s="40">
        <f t="shared" si="469"/>
        <v>398325</v>
      </c>
      <c r="S576" s="77">
        <f t="shared" si="440"/>
        <v>2.9292210621528754</v>
      </c>
      <c r="T576" s="77">
        <v>0</v>
      </c>
      <c r="U576" s="77">
        <v>0</v>
      </c>
      <c r="V576" s="77">
        <f t="shared" si="441"/>
        <v>2.9292210621528754</v>
      </c>
      <c r="W576" s="40">
        <f t="shared" si="436"/>
        <v>13200000</v>
      </c>
      <c r="X576" s="247">
        <f t="shared" si="451"/>
        <v>398325</v>
      </c>
      <c r="Y576" s="247">
        <f t="shared" si="447"/>
        <v>0</v>
      </c>
      <c r="Z576" s="247">
        <f t="shared" si="448"/>
        <v>0</v>
      </c>
      <c r="AA576" s="93"/>
    </row>
    <row r="577" spans="1:27" s="8" customFormat="1">
      <c r="A577" s="96" t="s">
        <v>467</v>
      </c>
      <c r="B577" s="96" t="s">
        <v>468</v>
      </c>
      <c r="C577" s="138">
        <f>SUM(C578:C579)</f>
        <v>13598325</v>
      </c>
      <c r="D577" s="138">
        <f t="shared" ref="D577:M577" si="476">SUM(D578:D578)</f>
        <v>0</v>
      </c>
      <c r="E577" s="138">
        <f t="shared" si="476"/>
        <v>0</v>
      </c>
      <c r="F577" s="138">
        <f t="shared" si="452"/>
        <v>13598325</v>
      </c>
      <c r="G577" s="138">
        <f>SUM(G578:G579)</f>
        <v>398325</v>
      </c>
      <c r="H577" s="138">
        <f t="shared" ref="H577:I577" si="477">SUM(H578:H579)</f>
        <v>0</v>
      </c>
      <c r="I577" s="138">
        <f t="shared" si="477"/>
        <v>0</v>
      </c>
      <c r="J577" s="138">
        <f t="shared" si="438"/>
        <v>398325</v>
      </c>
      <c r="K577" s="138">
        <f t="shared" si="476"/>
        <v>0</v>
      </c>
      <c r="L577" s="138">
        <f t="shared" si="476"/>
        <v>0</v>
      </c>
      <c r="M577" s="138">
        <f t="shared" si="476"/>
        <v>0</v>
      </c>
      <c r="N577" s="138">
        <f t="shared" si="442"/>
        <v>0</v>
      </c>
      <c r="O577" s="138">
        <f t="shared" si="466"/>
        <v>398325</v>
      </c>
      <c r="P577" s="138">
        <f t="shared" si="467"/>
        <v>0</v>
      </c>
      <c r="Q577" s="138">
        <f t="shared" si="468"/>
        <v>0</v>
      </c>
      <c r="R577" s="138">
        <f t="shared" si="469"/>
        <v>398325</v>
      </c>
      <c r="S577" s="140">
        <f t="shared" si="440"/>
        <v>2.9292210621528754</v>
      </c>
      <c r="T577" s="140">
        <v>0</v>
      </c>
      <c r="U577" s="140">
        <v>0</v>
      </c>
      <c r="V577" s="140">
        <f t="shared" si="441"/>
        <v>2.9292210621528754</v>
      </c>
      <c r="W577" s="138">
        <f t="shared" si="436"/>
        <v>13200000</v>
      </c>
      <c r="X577" s="247">
        <f t="shared" si="451"/>
        <v>398325</v>
      </c>
      <c r="Y577" s="247">
        <f t="shared" si="447"/>
        <v>0</v>
      </c>
      <c r="Z577" s="247">
        <f t="shared" si="448"/>
        <v>0</v>
      </c>
      <c r="AA577" s="93"/>
    </row>
    <row r="578" spans="1:27">
      <c r="A578" s="97" t="s">
        <v>114</v>
      </c>
      <c r="B578" s="97" t="s">
        <v>364</v>
      </c>
      <c r="C578" s="98">
        <v>398325</v>
      </c>
      <c r="D578" s="46">
        <v>0</v>
      </c>
      <c r="E578" s="46">
        <v>0</v>
      </c>
      <c r="F578" s="46">
        <f t="shared" si="452"/>
        <v>398325</v>
      </c>
      <c r="G578" s="47">
        <v>398325</v>
      </c>
      <c r="H578" s="47"/>
      <c r="I578" s="47"/>
      <c r="J578" s="47">
        <f t="shared" si="438"/>
        <v>398325</v>
      </c>
      <c r="K578" s="47"/>
      <c r="L578" s="47"/>
      <c r="M578" s="47"/>
      <c r="N578" s="47">
        <f t="shared" si="442"/>
        <v>0</v>
      </c>
      <c r="O578" s="47">
        <f t="shared" si="466"/>
        <v>398325</v>
      </c>
      <c r="P578" s="47">
        <f t="shared" si="467"/>
        <v>0</v>
      </c>
      <c r="Q578" s="47">
        <f t="shared" si="468"/>
        <v>0</v>
      </c>
      <c r="R578" s="47">
        <f t="shared" si="469"/>
        <v>398325</v>
      </c>
      <c r="S578" s="79">
        <f t="shared" si="440"/>
        <v>100</v>
      </c>
      <c r="T578" s="79">
        <v>0</v>
      </c>
      <c r="U578" s="79">
        <v>0</v>
      </c>
      <c r="V578" s="79">
        <f t="shared" si="441"/>
        <v>100</v>
      </c>
      <c r="W578" s="47">
        <f t="shared" si="436"/>
        <v>0</v>
      </c>
      <c r="X578" s="247">
        <f t="shared" si="451"/>
        <v>398325</v>
      </c>
      <c r="Y578" s="247">
        <f t="shared" si="447"/>
        <v>0</v>
      </c>
      <c r="Z578" s="247">
        <f t="shared" si="448"/>
        <v>0</v>
      </c>
      <c r="AA578" s="93"/>
    </row>
    <row r="579" spans="1:27">
      <c r="A579" s="97" t="s">
        <v>278</v>
      </c>
      <c r="B579" s="97" t="s">
        <v>441</v>
      </c>
      <c r="C579" s="98">
        <v>13200000</v>
      </c>
      <c r="D579" s="46"/>
      <c r="E579" s="46"/>
      <c r="F579" s="46">
        <f t="shared" si="452"/>
        <v>13200000</v>
      </c>
      <c r="G579" s="47"/>
      <c r="H579" s="47"/>
      <c r="I579" s="47"/>
      <c r="J579" s="47">
        <f t="shared" si="438"/>
        <v>0</v>
      </c>
      <c r="K579" s="47"/>
      <c r="L579" s="47"/>
      <c r="M579" s="47"/>
      <c r="N579" s="47">
        <f t="shared" si="442"/>
        <v>0</v>
      </c>
      <c r="O579" s="47">
        <f t="shared" si="466"/>
        <v>0</v>
      </c>
      <c r="P579" s="47">
        <f t="shared" si="467"/>
        <v>0</v>
      </c>
      <c r="Q579" s="47">
        <f t="shared" si="468"/>
        <v>0</v>
      </c>
      <c r="R579" s="47">
        <f t="shared" si="469"/>
        <v>0</v>
      </c>
      <c r="S579" s="79">
        <f t="shared" si="440"/>
        <v>0</v>
      </c>
      <c r="T579" s="79">
        <v>0</v>
      </c>
      <c r="U579" s="79">
        <v>0</v>
      </c>
      <c r="V579" s="79">
        <f t="shared" si="441"/>
        <v>0</v>
      </c>
      <c r="W579" s="47">
        <f t="shared" si="436"/>
        <v>13200000</v>
      </c>
      <c r="X579" s="247">
        <f t="shared" si="451"/>
        <v>0</v>
      </c>
      <c r="Y579" s="247">
        <f t="shared" si="447"/>
        <v>0</v>
      </c>
      <c r="Z579" s="247">
        <f t="shared" si="448"/>
        <v>0</v>
      </c>
      <c r="AA579" s="93"/>
    </row>
    <row r="580" spans="1:27" s="9" customFormat="1" ht="17.25" customHeight="1">
      <c r="A580" s="38" t="s">
        <v>92</v>
      </c>
      <c r="B580" s="39" t="s">
        <v>93</v>
      </c>
      <c r="C580" s="101">
        <f>C581</f>
        <v>120481400</v>
      </c>
      <c r="D580" s="101">
        <f>D581</f>
        <v>0</v>
      </c>
      <c r="E580" s="101">
        <f>E581</f>
        <v>0</v>
      </c>
      <c r="F580" s="101">
        <f t="shared" si="452"/>
        <v>120481400</v>
      </c>
      <c r="G580" s="101">
        <f t="shared" ref="G580:I580" si="478">G581</f>
        <v>110313482</v>
      </c>
      <c r="H580" s="101">
        <f t="shared" si="478"/>
        <v>0</v>
      </c>
      <c r="I580" s="101">
        <f t="shared" si="478"/>
        <v>0</v>
      </c>
      <c r="J580" s="101">
        <f t="shared" si="438"/>
        <v>110313482</v>
      </c>
      <c r="K580" s="101">
        <f t="shared" ref="K580:M580" si="479">K581</f>
        <v>0</v>
      </c>
      <c r="L580" s="101">
        <f t="shared" si="479"/>
        <v>0</v>
      </c>
      <c r="M580" s="101">
        <f t="shared" si="479"/>
        <v>0</v>
      </c>
      <c r="N580" s="101">
        <f t="shared" si="442"/>
        <v>0</v>
      </c>
      <c r="O580" s="101">
        <f t="shared" si="466"/>
        <v>110313482</v>
      </c>
      <c r="P580" s="101">
        <f t="shared" si="467"/>
        <v>0</v>
      </c>
      <c r="Q580" s="101">
        <f t="shared" si="468"/>
        <v>0</v>
      </c>
      <c r="R580" s="101">
        <f t="shared" si="469"/>
        <v>110313482</v>
      </c>
      <c r="S580" s="104">
        <f t="shared" si="440"/>
        <v>91.560591095389</v>
      </c>
      <c r="T580" s="104">
        <v>0</v>
      </c>
      <c r="U580" s="104">
        <v>0</v>
      </c>
      <c r="V580" s="104">
        <f t="shared" si="441"/>
        <v>91.560591095389</v>
      </c>
      <c r="W580" s="101">
        <f t="shared" si="436"/>
        <v>10167918</v>
      </c>
      <c r="X580" s="247">
        <f t="shared" si="451"/>
        <v>110313482</v>
      </c>
      <c r="Y580" s="247">
        <f t="shared" si="447"/>
        <v>0</v>
      </c>
      <c r="Z580" s="247">
        <f t="shared" si="448"/>
        <v>0</v>
      </c>
      <c r="AA580" s="93"/>
    </row>
    <row r="581" spans="1:27" s="5" customFormat="1">
      <c r="A581" s="96" t="s">
        <v>96</v>
      </c>
      <c r="B581" s="96" t="s">
        <v>97</v>
      </c>
      <c r="C581" s="60">
        <f>SUM(C582:C585)</f>
        <v>120481400</v>
      </c>
      <c r="D581" s="60">
        <f>SUM(D582:D585)</f>
        <v>0</v>
      </c>
      <c r="E581" s="60">
        <f>SUM(E582:E585)</f>
        <v>0</v>
      </c>
      <c r="F581" s="60">
        <f t="shared" si="452"/>
        <v>120481400</v>
      </c>
      <c r="G581" s="60">
        <f t="shared" ref="G581:H581" si="480">SUM(G582:G585)</f>
        <v>110313482</v>
      </c>
      <c r="H581" s="60">
        <f t="shared" si="480"/>
        <v>0</v>
      </c>
      <c r="I581" s="60">
        <f>SUM(I582:I585)</f>
        <v>0</v>
      </c>
      <c r="J581" s="60">
        <f t="shared" si="438"/>
        <v>110313482</v>
      </c>
      <c r="K581" s="60">
        <f t="shared" ref="K581:L581" si="481">SUM(K582:K585)</f>
        <v>0</v>
      </c>
      <c r="L581" s="60">
        <f t="shared" si="481"/>
        <v>0</v>
      </c>
      <c r="M581" s="60">
        <f>SUM(M582:M585)</f>
        <v>0</v>
      </c>
      <c r="N581" s="60">
        <f t="shared" si="442"/>
        <v>0</v>
      </c>
      <c r="O581" s="60">
        <f t="shared" si="466"/>
        <v>110313482</v>
      </c>
      <c r="P581" s="60">
        <f t="shared" si="467"/>
        <v>0</v>
      </c>
      <c r="Q581" s="60">
        <f t="shared" si="468"/>
        <v>0</v>
      </c>
      <c r="R581" s="60">
        <f t="shared" si="469"/>
        <v>110313482</v>
      </c>
      <c r="S581" s="84">
        <f t="shared" si="440"/>
        <v>91.560591095389</v>
      </c>
      <c r="T581" s="84">
        <v>0</v>
      </c>
      <c r="U581" s="84">
        <v>0</v>
      </c>
      <c r="V581" s="84">
        <f t="shared" si="441"/>
        <v>91.560591095389</v>
      </c>
      <c r="W581" s="60">
        <f t="shared" si="436"/>
        <v>10167918</v>
      </c>
      <c r="X581" s="247">
        <f t="shared" si="451"/>
        <v>110313482</v>
      </c>
      <c r="Y581" s="247">
        <f t="shared" si="447"/>
        <v>0</v>
      </c>
      <c r="Z581" s="247">
        <f t="shared" si="448"/>
        <v>0</v>
      </c>
      <c r="AA581" s="93"/>
    </row>
    <row r="582" spans="1:27">
      <c r="A582" s="97" t="s">
        <v>110</v>
      </c>
      <c r="B582" s="97" t="s">
        <v>391</v>
      </c>
      <c r="C582" s="98">
        <v>59900</v>
      </c>
      <c r="D582" s="46">
        <v>0</v>
      </c>
      <c r="E582" s="46">
        <v>0</v>
      </c>
      <c r="F582" s="46">
        <f t="shared" si="452"/>
        <v>59900</v>
      </c>
      <c r="G582" s="48">
        <v>0</v>
      </c>
      <c r="H582" s="47">
        <v>0</v>
      </c>
      <c r="I582" s="47">
        <v>0</v>
      </c>
      <c r="J582" s="47">
        <f t="shared" si="438"/>
        <v>0</v>
      </c>
      <c r="K582" s="47"/>
      <c r="L582" s="47"/>
      <c r="M582" s="47"/>
      <c r="N582" s="47">
        <f t="shared" si="442"/>
        <v>0</v>
      </c>
      <c r="O582" s="47">
        <f t="shared" si="466"/>
        <v>0</v>
      </c>
      <c r="P582" s="47">
        <f t="shared" si="467"/>
        <v>0</v>
      </c>
      <c r="Q582" s="47">
        <f t="shared" si="468"/>
        <v>0</v>
      </c>
      <c r="R582" s="47">
        <f t="shared" si="469"/>
        <v>0</v>
      </c>
      <c r="S582" s="79">
        <f t="shared" si="440"/>
        <v>0</v>
      </c>
      <c r="T582" s="79">
        <v>0</v>
      </c>
      <c r="U582" s="79">
        <v>0</v>
      </c>
      <c r="V582" s="79">
        <f t="shared" si="441"/>
        <v>0</v>
      </c>
      <c r="W582" s="47">
        <f t="shared" si="436"/>
        <v>59900</v>
      </c>
      <c r="X582" s="247">
        <f t="shared" si="451"/>
        <v>0</v>
      </c>
      <c r="Y582" s="247">
        <f t="shared" si="447"/>
        <v>0</v>
      </c>
      <c r="Z582" s="247">
        <f t="shared" si="448"/>
        <v>0</v>
      </c>
      <c r="AA582" s="93"/>
    </row>
    <row r="583" spans="1:27">
      <c r="A583" s="97" t="s">
        <v>373</v>
      </c>
      <c r="B583" s="97" t="s">
        <v>374</v>
      </c>
      <c r="C583" s="98">
        <v>421500</v>
      </c>
      <c r="D583" s="46">
        <v>0</v>
      </c>
      <c r="E583" s="46">
        <v>0</v>
      </c>
      <c r="F583" s="46">
        <f t="shared" si="452"/>
        <v>421500</v>
      </c>
      <c r="G583" s="48">
        <v>421500</v>
      </c>
      <c r="H583" s="47">
        <v>0</v>
      </c>
      <c r="I583" s="47">
        <v>0</v>
      </c>
      <c r="J583" s="47">
        <f t="shared" si="438"/>
        <v>421500</v>
      </c>
      <c r="K583" s="47"/>
      <c r="L583" s="47"/>
      <c r="M583" s="47"/>
      <c r="N583" s="47">
        <f t="shared" si="442"/>
        <v>0</v>
      </c>
      <c r="O583" s="47">
        <f t="shared" si="466"/>
        <v>421500</v>
      </c>
      <c r="P583" s="47">
        <f t="shared" si="467"/>
        <v>0</v>
      </c>
      <c r="Q583" s="47">
        <f t="shared" si="468"/>
        <v>0</v>
      </c>
      <c r="R583" s="47">
        <f t="shared" si="469"/>
        <v>421500</v>
      </c>
      <c r="S583" s="79">
        <f t="shared" si="440"/>
        <v>100</v>
      </c>
      <c r="T583" s="79">
        <v>0</v>
      </c>
      <c r="U583" s="79">
        <v>0</v>
      </c>
      <c r="V583" s="79">
        <f t="shared" si="441"/>
        <v>100</v>
      </c>
      <c r="W583" s="47">
        <f t="shared" si="436"/>
        <v>0</v>
      </c>
      <c r="X583" s="247">
        <f t="shared" si="451"/>
        <v>421500</v>
      </c>
      <c r="Y583" s="247">
        <f t="shared" si="447"/>
        <v>0</v>
      </c>
      <c r="Z583" s="247">
        <f t="shared" si="448"/>
        <v>0</v>
      </c>
      <c r="AA583" s="93"/>
    </row>
    <row r="584" spans="1:27">
      <c r="A584" s="97" t="s">
        <v>98</v>
      </c>
      <c r="B584" s="97" t="s">
        <v>315</v>
      </c>
      <c r="C584" s="98">
        <v>48000000</v>
      </c>
      <c r="D584" s="46">
        <v>0</v>
      </c>
      <c r="E584" s="46">
        <v>0</v>
      </c>
      <c r="F584" s="46">
        <f t="shared" si="452"/>
        <v>48000000</v>
      </c>
      <c r="G584" s="48">
        <v>37981000</v>
      </c>
      <c r="H584" s="47">
        <v>0</v>
      </c>
      <c r="I584" s="47">
        <v>0</v>
      </c>
      <c r="J584" s="47">
        <f t="shared" si="438"/>
        <v>37981000</v>
      </c>
      <c r="K584" s="47"/>
      <c r="L584" s="47"/>
      <c r="M584" s="47"/>
      <c r="N584" s="47">
        <f t="shared" si="442"/>
        <v>0</v>
      </c>
      <c r="O584" s="47">
        <f t="shared" si="466"/>
        <v>37981000</v>
      </c>
      <c r="P584" s="47">
        <f t="shared" si="467"/>
        <v>0</v>
      </c>
      <c r="Q584" s="47">
        <f t="shared" si="468"/>
        <v>0</v>
      </c>
      <c r="R584" s="47">
        <f t="shared" si="469"/>
        <v>37981000</v>
      </c>
      <c r="S584" s="79">
        <f t="shared" si="440"/>
        <v>79.127083333333331</v>
      </c>
      <c r="T584" s="79">
        <v>0</v>
      </c>
      <c r="U584" s="79">
        <v>0</v>
      </c>
      <c r="V584" s="79">
        <f t="shared" si="441"/>
        <v>79.127083333333331</v>
      </c>
      <c r="W584" s="47">
        <f t="shared" si="436"/>
        <v>10019000</v>
      </c>
      <c r="X584" s="247">
        <f t="shared" si="451"/>
        <v>37981000</v>
      </c>
      <c r="Y584" s="247">
        <f t="shared" si="447"/>
        <v>0</v>
      </c>
      <c r="Z584" s="247">
        <f t="shared" si="448"/>
        <v>0</v>
      </c>
      <c r="AA584" s="93"/>
    </row>
    <row r="585" spans="1:27">
      <c r="A585" s="97" t="s">
        <v>100</v>
      </c>
      <c r="B585" s="97" t="s">
        <v>101</v>
      </c>
      <c r="C585" s="98">
        <v>72000000</v>
      </c>
      <c r="D585" s="46">
        <v>0</v>
      </c>
      <c r="E585" s="46">
        <v>0</v>
      </c>
      <c r="F585" s="46">
        <f t="shared" si="452"/>
        <v>72000000</v>
      </c>
      <c r="G585" s="48">
        <v>71910982</v>
      </c>
      <c r="H585" s="47">
        <v>0</v>
      </c>
      <c r="I585" s="47">
        <v>0</v>
      </c>
      <c r="J585" s="47">
        <f t="shared" si="438"/>
        <v>71910982</v>
      </c>
      <c r="K585" s="47"/>
      <c r="L585" s="47"/>
      <c r="M585" s="47"/>
      <c r="N585" s="47">
        <f t="shared" si="442"/>
        <v>0</v>
      </c>
      <c r="O585" s="47">
        <f t="shared" si="466"/>
        <v>71910982</v>
      </c>
      <c r="P585" s="47">
        <f t="shared" si="467"/>
        <v>0</v>
      </c>
      <c r="Q585" s="47">
        <f t="shared" si="468"/>
        <v>0</v>
      </c>
      <c r="R585" s="47">
        <f t="shared" si="469"/>
        <v>71910982</v>
      </c>
      <c r="S585" s="79">
        <f t="shared" si="440"/>
        <v>99.876363888888889</v>
      </c>
      <c r="T585" s="79">
        <v>0</v>
      </c>
      <c r="U585" s="79">
        <v>0</v>
      </c>
      <c r="V585" s="79">
        <f t="shared" si="441"/>
        <v>99.876363888888889</v>
      </c>
      <c r="W585" s="47">
        <f t="shared" si="436"/>
        <v>89018</v>
      </c>
      <c r="X585" s="247">
        <f t="shared" si="451"/>
        <v>71910982</v>
      </c>
      <c r="Y585" s="247">
        <f t="shared" si="447"/>
        <v>0</v>
      </c>
      <c r="Z585" s="247">
        <f t="shared" si="448"/>
        <v>0</v>
      </c>
      <c r="AA585" s="93"/>
    </row>
    <row r="586" spans="1:27" s="9" customFormat="1" ht="16.5" customHeight="1">
      <c r="A586" s="38" t="s">
        <v>102</v>
      </c>
      <c r="B586" s="137" t="s">
        <v>103</v>
      </c>
      <c r="C586" s="101">
        <f>C587+C589+C594+C596+C599+C601</f>
        <v>413928875</v>
      </c>
      <c r="D586" s="101">
        <f>D587+D589+D594+D596+D599+D601</f>
        <v>0</v>
      </c>
      <c r="E586" s="101">
        <f>E587+E589+E594+E596+E599+E601</f>
        <v>0</v>
      </c>
      <c r="F586" s="101">
        <f t="shared" si="452"/>
        <v>413928875</v>
      </c>
      <c r="G586" s="101">
        <f t="shared" ref="G586:I586" si="482">G587+G589+G594+G596+G599+G601</f>
        <v>244275992</v>
      </c>
      <c r="H586" s="101">
        <f t="shared" si="482"/>
        <v>0</v>
      </c>
      <c r="I586" s="101">
        <f t="shared" si="482"/>
        <v>0</v>
      </c>
      <c r="J586" s="101">
        <f t="shared" si="438"/>
        <v>244275992</v>
      </c>
      <c r="K586" s="101">
        <f t="shared" ref="K586:M586" si="483">K587+K589+K594+K596+K599+K601</f>
        <v>0</v>
      </c>
      <c r="L586" s="101">
        <f t="shared" si="483"/>
        <v>0</v>
      </c>
      <c r="M586" s="101">
        <f t="shared" si="483"/>
        <v>0</v>
      </c>
      <c r="N586" s="101">
        <f t="shared" si="442"/>
        <v>0</v>
      </c>
      <c r="O586" s="101">
        <f t="shared" si="466"/>
        <v>244275992</v>
      </c>
      <c r="P586" s="101">
        <f t="shared" si="467"/>
        <v>0</v>
      </c>
      <c r="Q586" s="101">
        <f t="shared" si="468"/>
        <v>0</v>
      </c>
      <c r="R586" s="101">
        <f t="shared" si="469"/>
        <v>244275992</v>
      </c>
      <c r="S586" s="104">
        <f t="shared" si="440"/>
        <v>59.014001378860073</v>
      </c>
      <c r="T586" s="104">
        <v>0</v>
      </c>
      <c r="U586" s="104">
        <v>0</v>
      </c>
      <c r="V586" s="104">
        <f t="shared" si="441"/>
        <v>59.014001378860073</v>
      </c>
      <c r="W586" s="101">
        <f t="shared" si="436"/>
        <v>169652883</v>
      </c>
      <c r="X586" s="247">
        <f t="shared" si="451"/>
        <v>244275992</v>
      </c>
      <c r="Y586" s="247">
        <f t="shared" si="447"/>
        <v>0</v>
      </c>
      <c r="Z586" s="247">
        <f t="shared" si="448"/>
        <v>0</v>
      </c>
      <c r="AA586" s="93"/>
    </row>
    <row r="587" spans="1:27" s="5" customFormat="1">
      <c r="A587" s="96" t="s">
        <v>104</v>
      </c>
      <c r="B587" s="96" t="s">
        <v>105</v>
      </c>
      <c r="C587" s="60">
        <f>C588</f>
        <v>8000000</v>
      </c>
      <c r="D587" s="60">
        <f>D588</f>
        <v>0</v>
      </c>
      <c r="E587" s="60">
        <f>E588</f>
        <v>0</v>
      </c>
      <c r="F587" s="60">
        <f t="shared" si="452"/>
        <v>8000000</v>
      </c>
      <c r="G587" s="60">
        <f t="shared" ref="G587:I587" si="484">G588</f>
        <v>7988708</v>
      </c>
      <c r="H587" s="60">
        <f t="shared" si="484"/>
        <v>0</v>
      </c>
      <c r="I587" s="60">
        <f t="shared" si="484"/>
        <v>0</v>
      </c>
      <c r="J587" s="60">
        <f t="shared" si="438"/>
        <v>7988708</v>
      </c>
      <c r="K587" s="60">
        <f t="shared" ref="K587:M587" si="485">K588</f>
        <v>0</v>
      </c>
      <c r="L587" s="60">
        <f t="shared" si="485"/>
        <v>0</v>
      </c>
      <c r="M587" s="60">
        <f t="shared" si="485"/>
        <v>0</v>
      </c>
      <c r="N587" s="60">
        <f t="shared" si="442"/>
        <v>0</v>
      </c>
      <c r="O587" s="60">
        <f t="shared" si="466"/>
        <v>7988708</v>
      </c>
      <c r="P587" s="60">
        <f t="shared" si="467"/>
        <v>0</v>
      </c>
      <c r="Q587" s="60">
        <f t="shared" si="468"/>
        <v>0</v>
      </c>
      <c r="R587" s="60">
        <f t="shared" si="469"/>
        <v>7988708</v>
      </c>
      <c r="S587" s="84">
        <f t="shared" si="440"/>
        <v>99.858850000000004</v>
      </c>
      <c r="T587" s="84">
        <v>0</v>
      </c>
      <c r="U587" s="84">
        <v>0</v>
      </c>
      <c r="V587" s="84">
        <f t="shared" si="441"/>
        <v>99.858850000000004</v>
      </c>
      <c r="W587" s="60">
        <f t="shared" si="436"/>
        <v>11292</v>
      </c>
      <c r="X587" s="247">
        <f t="shared" si="451"/>
        <v>7988708</v>
      </c>
      <c r="Y587" s="247">
        <f t="shared" si="447"/>
        <v>0</v>
      </c>
      <c r="Z587" s="247">
        <f t="shared" si="448"/>
        <v>0</v>
      </c>
      <c r="AA587" s="93"/>
    </row>
    <row r="588" spans="1:27">
      <c r="A588" s="97" t="s">
        <v>106</v>
      </c>
      <c r="B588" s="97" t="s">
        <v>308</v>
      </c>
      <c r="C588" s="98">
        <v>8000000</v>
      </c>
      <c r="D588" s="46">
        <v>0</v>
      </c>
      <c r="E588" s="46">
        <v>0</v>
      </c>
      <c r="F588" s="46">
        <f t="shared" si="452"/>
        <v>8000000</v>
      </c>
      <c r="G588" s="47">
        <v>7988708</v>
      </c>
      <c r="H588" s="47"/>
      <c r="I588" s="47"/>
      <c r="J588" s="47">
        <f t="shared" si="438"/>
        <v>7988708</v>
      </c>
      <c r="K588" s="47"/>
      <c r="L588" s="47"/>
      <c r="M588" s="47"/>
      <c r="N588" s="47">
        <f t="shared" si="442"/>
        <v>0</v>
      </c>
      <c r="O588" s="47">
        <f t="shared" si="466"/>
        <v>7988708</v>
      </c>
      <c r="P588" s="47">
        <f t="shared" si="467"/>
        <v>0</v>
      </c>
      <c r="Q588" s="47">
        <f t="shared" si="468"/>
        <v>0</v>
      </c>
      <c r="R588" s="47">
        <f t="shared" si="469"/>
        <v>7988708</v>
      </c>
      <c r="S588" s="79">
        <f t="shared" si="440"/>
        <v>99.858850000000004</v>
      </c>
      <c r="T588" s="79">
        <v>0</v>
      </c>
      <c r="U588" s="79">
        <v>0</v>
      </c>
      <c r="V588" s="79">
        <f t="shared" si="441"/>
        <v>99.858850000000004</v>
      </c>
      <c r="W588" s="47">
        <f t="shared" si="436"/>
        <v>11292</v>
      </c>
      <c r="X588" s="247">
        <f t="shared" si="451"/>
        <v>7988708</v>
      </c>
      <c r="Y588" s="247">
        <f t="shared" si="447"/>
        <v>0</v>
      </c>
      <c r="Z588" s="247">
        <f t="shared" si="448"/>
        <v>0</v>
      </c>
      <c r="AA588" s="93"/>
    </row>
    <row r="589" spans="1:27" s="5" customFormat="1">
      <c r="A589" s="96" t="s">
        <v>108</v>
      </c>
      <c r="B589" s="96" t="s">
        <v>109</v>
      </c>
      <c r="C589" s="60">
        <f>SUM(C590:C593)</f>
        <v>84032675</v>
      </c>
      <c r="D589" s="60">
        <f>SUM(D590:D593)</f>
        <v>0</v>
      </c>
      <c r="E589" s="60">
        <f>SUM(E590:E593)</f>
        <v>0</v>
      </c>
      <c r="F589" s="60">
        <f t="shared" si="452"/>
        <v>84032675</v>
      </c>
      <c r="G589" s="60">
        <f t="shared" ref="G589:I589" si="486">SUM(G590:G593)</f>
        <v>58475205</v>
      </c>
      <c r="H589" s="60">
        <f t="shared" si="486"/>
        <v>0</v>
      </c>
      <c r="I589" s="60">
        <f t="shared" si="486"/>
        <v>0</v>
      </c>
      <c r="J589" s="60">
        <f t="shared" si="438"/>
        <v>58475205</v>
      </c>
      <c r="K589" s="60">
        <f t="shared" ref="K589:M589" si="487">SUM(K590:K593)</f>
        <v>0</v>
      </c>
      <c r="L589" s="60">
        <f t="shared" si="487"/>
        <v>0</v>
      </c>
      <c r="M589" s="60">
        <f t="shared" si="487"/>
        <v>0</v>
      </c>
      <c r="N589" s="60">
        <f t="shared" si="442"/>
        <v>0</v>
      </c>
      <c r="O589" s="60">
        <f t="shared" si="466"/>
        <v>58475205</v>
      </c>
      <c r="P589" s="60">
        <f t="shared" si="467"/>
        <v>0</v>
      </c>
      <c r="Q589" s="60">
        <f t="shared" si="468"/>
        <v>0</v>
      </c>
      <c r="R589" s="60">
        <f t="shared" si="469"/>
        <v>58475205</v>
      </c>
      <c r="S589" s="84">
        <f t="shared" si="440"/>
        <v>69.586271054682001</v>
      </c>
      <c r="T589" s="84">
        <v>0</v>
      </c>
      <c r="U589" s="84">
        <v>0</v>
      </c>
      <c r="V589" s="84">
        <f t="shared" si="441"/>
        <v>69.586271054682001</v>
      </c>
      <c r="W589" s="60">
        <f t="shared" si="436"/>
        <v>25557470</v>
      </c>
      <c r="X589" s="247">
        <f t="shared" si="451"/>
        <v>58475205</v>
      </c>
      <c r="Y589" s="247">
        <f t="shared" si="447"/>
        <v>0</v>
      </c>
      <c r="Z589" s="247">
        <f t="shared" si="448"/>
        <v>0</v>
      </c>
      <c r="AA589" s="93"/>
    </row>
    <row r="590" spans="1:27">
      <c r="A590" s="97" t="s">
        <v>123</v>
      </c>
      <c r="B590" s="97" t="s">
        <v>111</v>
      </c>
      <c r="C590" s="98">
        <v>27056375</v>
      </c>
      <c r="D590" s="46">
        <v>0</v>
      </c>
      <c r="E590" s="46">
        <v>0</v>
      </c>
      <c r="F590" s="46">
        <f t="shared" si="452"/>
        <v>27056375</v>
      </c>
      <c r="G590" s="49">
        <v>17419286</v>
      </c>
      <c r="H590" s="47">
        <v>0</v>
      </c>
      <c r="I590" s="47">
        <v>0</v>
      </c>
      <c r="J590" s="47">
        <f t="shared" si="438"/>
        <v>17419286</v>
      </c>
      <c r="K590" s="47"/>
      <c r="L590" s="47"/>
      <c r="M590" s="47"/>
      <c r="N590" s="47">
        <f t="shared" si="442"/>
        <v>0</v>
      </c>
      <c r="O590" s="47">
        <f t="shared" si="466"/>
        <v>17419286</v>
      </c>
      <c r="P590" s="47">
        <f t="shared" si="467"/>
        <v>0</v>
      </c>
      <c r="Q590" s="47">
        <f t="shared" si="468"/>
        <v>0</v>
      </c>
      <c r="R590" s="47">
        <f t="shared" si="469"/>
        <v>17419286</v>
      </c>
      <c r="S590" s="79">
        <f t="shared" si="440"/>
        <v>64.381447995158254</v>
      </c>
      <c r="T590" s="79">
        <v>0</v>
      </c>
      <c r="U590" s="79">
        <v>0</v>
      </c>
      <c r="V590" s="79">
        <f t="shared" si="441"/>
        <v>64.381447995158254</v>
      </c>
      <c r="W590" s="47">
        <f t="shared" si="436"/>
        <v>9637089</v>
      </c>
      <c r="X590" s="247">
        <f t="shared" si="451"/>
        <v>17419286</v>
      </c>
      <c r="Y590" s="247">
        <f t="shared" si="447"/>
        <v>0</v>
      </c>
      <c r="Z590" s="247">
        <f t="shared" si="448"/>
        <v>0</v>
      </c>
      <c r="AA590" s="93"/>
    </row>
    <row r="591" spans="1:27">
      <c r="A591" s="97" t="s">
        <v>373</v>
      </c>
      <c r="B591" s="97" t="s">
        <v>374</v>
      </c>
      <c r="C591" s="98">
        <v>35521000</v>
      </c>
      <c r="D591" s="46"/>
      <c r="E591" s="46"/>
      <c r="F591" s="46">
        <f t="shared" si="452"/>
        <v>35521000</v>
      </c>
      <c r="G591" s="49">
        <v>26657713</v>
      </c>
      <c r="H591" s="47">
        <v>0</v>
      </c>
      <c r="I591" s="47">
        <v>0</v>
      </c>
      <c r="J591" s="47">
        <f t="shared" si="438"/>
        <v>26657713</v>
      </c>
      <c r="K591" s="47"/>
      <c r="L591" s="47"/>
      <c r="M591" s="47"/>
      <c r="N591" s="47">
        <f t="shared" si="442"/>
        <v>0</v>
      </c>
      <c r="O591" s="47">
        <f t="shared" si="466"/>
        <v>26657713</v>
      </c>
      <c r="P591" s="47">
        <f t="shared" si="467"/>
        <v>0</v>
      </c>
      <c r="Q591" s="47">
        <f t="shared" si="468"/>
        <v>0</v>
      </c>
      <c r="R591" s="47">
        <f t="shared" si="469"/>
        <v>26657713</v>
      </c>
      <c r="S591" s="79">
        <f t="shared" si="440"/>
        <v>75.047754849244114</v>
      </c>
      <c r="T591" s="79">
        <v>0</v>
      </c>
      <c r="U591" s="79">
        <v>0</v>
      </c>
      <c r="V591" s="79">
        <f t="shared" si="441"/>
        <v>75.047754849244114</v>
      </c>
      <c r="W591" s="47">
        <f t="shared" si="436"/>
        <v>8863287</v>
      </c>
      <c r="X591" s="247">
        <f t="shared" si="451"/>
        <v>26657713</v>
      </c>
      <c r="Y591" s="247">
        <f t="shared" si="447"/>
        <v>0</v>
      </c>
      <c r="Z591" s="247">
        <f t="shared" si="448"/>
        <v>0</v>
      </c>
      <c r="AA591" s="93"/>
    </row>
    <row r="592" spans="1:27">
      <c r="A592" s="97" t="s">
        <v>227</v>
      </c>
      <c r="B592" s="97" t="s">
        <v>364</v>
      </c>
      <c r="C592" s="98">
        <v>14339700</v>
      </c>
      <c r="D592" s="46">
        <v>0</v>
      </c>
      <c r="E592" s="46">
        <v>0</v>
      </c>
      <c r="F592" s="46">
        <f t="shared" si="452"/>
        <v>14339700</v>
      </c>
      <c r="G592" s="47">
        <v>10706618</v>
      </c>
      <c r="H592" s="47">
        <v>0</v>
      </c>
      <c r="I592" s="47">
        <v>0</v>
      </c>
      <c r="J592" s="47">
        <f t="shared" si="438"/>
        <v>10706618</v>
      </c>
      <c r="K592" s="47"/>
      <c r="L592" s="47"/>
      <c r="M592" s="47"/>
      <c r="N592" s="47">
        <f t="shared" si="442"/>
        <v>0</v>
      </c>
      <c r="O592" s="47">
        <f t="shared" si="466"/>
        <v>10706618</v>
      </c>
      <c r="P592" s="47">
        <f t="shared" si="467"/>
        <v>0</v>
      </c>
      <c r="Q592" s="47">
        <f t="shared" si="468"/>
        <v>0</v>
      </c>
      <c r="R592" s="47">
        <f t="shared" si="469"/>
        <v>10706618</v>
      </c>
      <c r="S592" s="79">
        <f t="shared" si="440"/>
        <v>74.664170101187608</v>
      </c>
      <c r="T592" s="79">
        <v>0</v>
      </c>
      <c r="U592" s="79">
        <v>0</v>
      </c>
      <c r="V592" s="79">
        <f t="shared" si="441"/>
        <v>74.664170101187608</v>
      </c>
      <c r="W592" s="47">
        <f t="shared" si="436"/>
        <v>3633082</v>
      </c>
      <c r="X592" s="247">
        <f t="shared" si="451"/>
        <v>10706618</v>
      </c>
      <c r="Y592" s="247">
        <f t="shared" si="447"/>
        <v>0</v>
      </c>
      <c r="Z592" s="247">
        <f t="shared" si="448"/>
        <v>0</v>
      </c>
      <c r="AA592" s="93"/>
    </row>
    <row r="593" spans="1:27" ht="18.75" customHeight="1">
      <c r="A593" s="97" t="s">
        <v>231</v>
      </c>
      <c r="B593" s="97" t="s">
        <v>119</v>
      </c>
      <c r="C593" s="98">
        <v>7115600</v>
      </c>
      <c r="D593" s="46">
        <v>0</v>
      </c>
      <c r="E593" s="46">
        <v>0</v>
      </c>
      <c r="F593" s="46">
        <f t="shared" si="452"/>
        <v>7115600</v>
      </c>
      <c r="G593" s="48">
        <v>3691588</v>
      </c>
      <c r="H593" s="47">
        <v>0</v>
      </c>
      <c r="I593" s="47">
        <v>0</v>
      </c>
      <c r="J593" s="47">
        <f t="shared" si="438"/>
        <v>3691588</v>
      </c>
      <c r="K593" s="47"/>
      <c r="L593" s="47"/>
      <c r="M593" s="47"/>
      <c r="N593" s="47">
        <f t="shared" si="442"/>
        <v>0</v>
      </c>
      <c r="O593" s="47">
        <f t="shared" si="466"/>
        <v>3691588</v>
      </c>
      <c r="P593" s="47">
        <f t="shared" si="467"/>
        <v>0</v>
      </c>
      <c r="Q593" s="47">
        <f t="shared" si="468"/>
        <v>0</v>
      </c>
      <c r="R593" s="47">
        <f t="shared" si="469"/>
        <v>3691588</v>
      </c>
      <c r="S593" s="79">
        <f t="shared" si="440"/>
        <v>51.880206869413684</v>
      </c>
      <c r="T593" s="79">
        <v>0</v>
      </c>
      <c r="U593" s="79">
        <v>0</v>
      </c>
      <c r="V593" s="79">
        <f t="shared" si="441"/>
        <v>51.880206869413684</v>
      </c>
      <c r="W593" s="47">
        <f t="shared" si="436"/>
        <v>3424012</v>
      </c>
      <c r="X593" s="247">
        <f t="shared" si="451"/>
        <v>3691588</v>
      </c>
      <c r="Y593" s="247">
        <f t="shared" si="447"/>
        <v>0</v>
      </c>
      <c r="Z593" s="247">
        <f t="shared" si="448"/>
        <v>0</v>
      </c>
      <c r="AA593" s="93"/>
    </row>
    <row r="594" spans="1:27" s="7" customFormat="1">
      <c r="A594" s="96" t="s">
        <v>121</v>
      </c>
      <c r="B594" s="96" t="s">
        <v>122</v>
      </c>
      <c r="C594" s="60">
        <f t="shared" ref="C594:M594" si="488">SUM(C595:C595)</f>
        <v>34492000</v>
      </c>
      <c r="D594" s="60">
        <f t="shared" si="488"/>
        <v>0</v>
      </c>
      <c r="E594" s="60">
        <f t="shared" si="488"/>
        <v>0</v>
      </c>
      <c r="F594" s="60">
        <f t="shared" si="452"/>
        <v>34492000</v>
      </c>
      <c r="G594" s="60">
        <f t="shared" ref="G594:I594" si="489">SUM(G595:G595)</f>
        <v>14559000</v>
      </c>
      <c r="H594" s="60">
        <f t="shared" si="489"/>
        <v>0</v>
      </c>
      <c r="I594" s="60">
        <f t="shared" si="489"/>
        <v>0</v>
      </c>
      <c r="J594" s="60">
        <f t="shared" si="438"/>
        <v>14559000</v>
      </c>
      <c r="K594" s="60">
        <f t="shared" si="488"/>
        <v>0</v>
      </c>
      <c r="L594" s="60">
        <f t="shared" si="488"/>
        <v>0</v>
      </c>
      <c r="M594" s="60">
        <f t="shared" si="488"/>
        <v>0</v>
      </c>
      <c r="N594" s="60">
        <f t="shared" si="442"/>
        <v>0</v>
      </c>
      <c r="O594" s="60">
        <f t="shared" si="466"/>
        <v>14559000</v>
      </c>
      <c r="P594" s="60">
        <f t="shared" si="467"/>
        <v>0</v>
      </c>
      <c r="Q594" s="60">
        <f t="shared" si="468"/>
        <v>0</v>
      </c>
      <c r="R594" s="60">
        <f t="shared" si="469"/>
        <v>14559000</v>
      </c>
      <c r="S594" s="84">
        <f t="shared" si="440"/>
        <v>42.209787776875793</v>
      </c>
      <c r="T594" s="84">
        <v>0</v>
      </c>
      <c r="U594" s="84">
        <v>0</v>
      </c>
      <c r="V594" s="84">
        <f t="shared" si="441"/>
        <v>42.209787776875793</v>
      </c>
      <c r="W594" s="60">
        <f t="shared" si="436"/>
        <v>19933000</v>
      </c>
      <c r="X594" s="247">
        <f t="shared" si="451"/>
        <v>14559000</v>
      </c>
      <c r="Y594" s="247">
        <f t="shared" si="447"/>
        <v>0</v>
      </c>
      <c r="Z594" s="247">
        <f t="shared" si="448"/>
        <v>0</v>
      </c>
      <c r="AA594" s="93"/>
    </row>
    <row r="595" spans="1:27">
      <c r="A595" s="97" t="s">
        <v>124</v>
      </c>
      <c r="B595" s="97" t="s">
        <v>125</v>
      </c>
      <c r="C595" s="98">
        <v>34492000</v>
      </c>
      <c r="D595" s="46">
        <v>0</v>
      </c>
      <c r="E595" s="46">
        <v>0</v>
      </c>
      <c r="F595" s="46">
        <f t="shared" si="452"/>
        <v>34492000</v>
      </c>
      <c r="G595" s="47">
        <v>14559000</v>
      </c>
      <c r="H595" s="47">
        <v>0</v>
      </c>
      <c r="I595" s="47">
        <v>0</v>
      </c>
      <c r="J595" s="47">
        <f t="shared" si="438"/>
        <v>14559000</v>
      </c>
      <c r="K595" s="47"/>
      <c r="L595" s="47"/>
      <c r="M595" s="47"/>
      <c r="N595" s="47">
        <f t="shared" si="442"/>
        <v>0</v>
      </c>
      <c r="O595" s="47">
        <f t="shared" si="466"/>
        <v>14559000</v>
      </c>
      <c r="P595" s="47">
        <f t="shared" si="467"/>
        <v>0</v>
      </c>
      <c r="Q595" s="47">
        <f t="shared" si="468"/>
        <v>0</v>
      </c>
      <c r="R595" s="47">
        <f t="shared" si="469"/>
        <v>14559000</v>
      </c>
      <c r="S595" s="79">
        <f t="shared" si="440"/>
        <v>42.209787776875793</v>
      </c>
      <c r="T595" s="79">
        <v>0</v>
      </c>
      <c r="U595" s="79">
        <v>0</v>
      </c>
      <c r="V595" s="79">
        <f t="shared" si="441"/>
        <v>42.209787776875793</v>
      </c>
      <c r="W595" s="47">
        <f t="shared" si="436"/>
        <v>19933000</v>
      </c>
      <c r="X595" s="247">
        <f t="shared" si="451"/>
        <v>14559000</v>
      </c>
      <c r="Y595" s="247">
        <f t="shared" si="447"/>
        <v>0</v>
      </c>
      <c r="Z595" s="247">
        <f t="shared" si="448"/>
        <v>0</v>
      </c>
      <c r="AA595" s="93"/>
    </row>
    <row r="596" spans="1:27" s="8" customFormat="1">
      <c r="A596" s="96" t="s">
        <v>126</v>
      </c>
      <c r="B596" s="96" t="s">
        <v>127</v>
      </c>
      <c r="C596" s="60">
        <f>SUM(C597:C598)</f>
        <v>29865000</v>
      </c>
      <c r="D596" s="60">
        <f>SUM(D597:D598)</f>
        <v>0</v>
      </c>
      <c r="E596" s="60">
        <f>SUM(E597:E598)</f>
        <v>0</v>
      </c>
      <c r="F596" s="60">
        <f t="shared" si="452"/>
        <v>29865000</v>
      </c>
      <c r="G596" s="60">
        <f t="shared" ref="G596:H596" si="490">SUM(G597:G598)</f>
        <v>9678500</v>
      </c>
      <c r="H596" s="60">
        <f t="shared" si="490"/>
        <v>0</v>
      </c>
      <c r="I596" s="60">
        <f>SUM(I597:I598)</f>
        <v>0</v>
      </c>
      <c r="J596" s="60">
        <f t="shared" si="438"/>
        <v>9678500</v>
      </c>
      <c r="K596" s="60">
        <f t="shared" ref="K596:L596" si="491">SUM(K597:K598)</f>
        <v>0</v>
      </c>
      <c r="L596" s="60">
        <f t="shared" si="491"/>
        <v>0</v>
      </c>
      <c r="M596" s="60">
        <f>SUM(M597:M598)</f>
        <v>0</v>
      </c>
      <c r="N596" s="60">
        <f t="shared" si="442"/>
        <v>0</v>
      </c>
      <c r="O596" s="60">
        <f t="shared" si="466"/>
        <v>9678500</v>
      </c>
      <c r="P596" s="60">
        <f t="shared" si="467"/>
        <v>0</v>
      </c>
      <c r="Q596" s="60">
        <f t="shared" si="468"/>
        <v>0</v>
      </c>
      <c r="R596" s="60">
        <f t="shared" si="469"/>
        <v>9678500</v>
      </c>
      <c r="S596" s="84">
        <f t="shared" si="440"/>
        <v>32.407500418550143</v>
      </c>
      <c r="T596" s="84">
        <v>0</v>
      </c>
      <c r="U596" s="84">
        <v>0</v>
      </c>
      <c r="V596" s="84">
        <f t="shared" si="441"/>
        <v>32.407500418550143</v>
      </c>
      <c r="W596" s="60">
        <f t="shared" ref="W596:W659" si="492">F596-R596</f>
        <v>20186500</v>
      </c>
      <c r="X596" s="247">
        <f t="shared" si="451"/>
        <v>9678500</v>
      </c>
      <c r="Y596" s="247">
        <f t="shared" si="447"/>
        <v>0</v>
      </c>
      <c r="Z596" s="247">
        <f t="shared" si="448"/>
        <v>0</v>
      </c>
      <c r="AA596" s="93"/>
    </row>
    <row r="597" spans="1:27">
      <c r="A597" s="97" t="s">
        <v>123</v>
      </c>
      <c r="B597" s="97" t="s">
        <v>111</v>
      </c>
      <c r="C597" s="98">
        <v>140</v>
      </c>
      <c r="D597" s="46">
        <v>0</v>
      </c>
      <c r="E597" s="46">
        <v>0</v>
      </c>
      <c r="F597" s="46">
        <f t="shared" si="452"/>
        <v>140</v>
      </c>
      <c r="G597" s="48"/>
      <c r="H597" s="47"/>
      <c r="I597" s="47"/>
      <c r="J597" s="47">
        <f t="shared" ref="J597:J660" si="493">G597+H597+I597</f>
        <v>0</v>
      </c>
      <c r="K597" s="47"/>
      <c r="L597" s="47"/>
      <c r="M597" s="47"/>
      <c r="N597" s="47">
        <f t="shared" si="442"/>
        <v>0</v>
      </c>
      <c r="O597" s="47">
        <f t="shared" si="466"/>
        <v>0</v>
      </c>
      <c r="P597" s="47">
        <f t="shared" si="467"/>
        <v>0</v>
      </c>
      <c r="Q597" s="47">
        <f t="shared" si="468"/>
        <v>0</v>
      </c>
      <c r="R597" s="47">
        <f t="shared" si="469"/>
        <v>0</v>
      </c>
      <c r="S597" s="79">
        <f t="shared" ref="S597:S660" si="494">O597/C597*100</f>
        <v>0</v>
      </c>
      <c r="T597" s="79">
        <v>0</v>
      </c>
      <c r="U597" s="79">
        <v>0</v>
      </c>
      <c r="V597" s="79">
        <f t="shared" ref="V597:V660" si="495">R597/F597*100</f>
        <v>0</v>
      </c>
      <c r="W597" s="47">
        <f t="shared" si="492"/>
        <v>140</v>
      </c>
      <c r="X597" s="247">
        <f t="shared" si="451"/>
        <v>0</v>
      </c>
      <c r="Y597" s="247">
        <f t="shared" si="447"/>
        <v>0</v>
      </c>
      <c r="Z597" s="247">
        <f t="shared" si="448"/>
        <v>0</v>
      </c>
      <c r="AA597" s="93"/>
    </row>
    <row r="598" spans="1:27">
      <c r="A598" s="97" t="s">
        <v>128</v>
      </c>
      <c r="B598" s="97" t="s">
        <v>113</v>
      </c>
      <c r="C598" s="98">
        <v>29864860</v>
      </c>
      <c r="D598" s="46">
        <v>0</v>
      </c>
      <c r="E598" s="46">
        <v>0</v>
      </c>
      <c r="F598" s="46">
        <f t="shared" si="452"/>
        <v>29864860</v>
      </c>
      <c r="G598" s="47">
        <v>9678500</v>
      </c>
      <c r="H598" s="47"/>
      <c r="I598" s="47"/>
      <c r="J598" s="47">
        <f t="shared" si="493"/>
        <v>9678500</v>
      </c>
      <c r="K598" s="47"/>
      <c r="L598" s="47"/>
      <c r="M598" s="47"/>
      <c r="N598" s="47">
        <f t="shared" ref="N598:N661" si="496">SUM(K598:M598)</f>
        <v>0</v>
      </c>
      <c r="O598" s="47">
        <f t="shared" si="466"/>
        <v>9678500</v>
      </c>
      <c r="P598" s="47">
        <f t="shared" si="467"/>
        <v>0</v>
      </c>
      <c r="Q598" s="47">
        <f t="shared" si="468"/>
        <v>0</v>
      </c>
      <c r="R598" s="47">
        <f t="shared" si="469"/>
        <v>9678500</v>
      </c>
      <c r="S598" s="79">
        <f t="shared" si="494"/>
        <v>32.407652337898121</v>
      </c>
      <c r="T598" s="79">
        <v>0</v>
      </c>
      <c r="U598" s="79">
        <v>0</v>
      </c>
      <c r="V598" s="79">
        <f t="shared" si="495"/>
        <v>32.407652337898121</v>
      </c>
      <c r="W598" s="47">
        <f t="shared" si="492"/>
        <v>20186360</v>
      </c>
      <c r="X598" s="247">
        <f t="shared" si="451"/>
        <v>9678500</v>
      </c>
      <c r="Y598" s="247">
        <f t="shared" si="447"/>
        <v>0</v>
      </c>
      <c r="Z598" s="247">
        <f t="shared" si="448"/>
        <v>0</v>
      </c>
      <c r="AA598" s="93"/>
    </row>
    <row r="599" spans="1:27" s="8" customFormat="1">
      <c r="A599" s="96" t="s">
        <v>129</v>
      </c>
      <c r="B599" s="96" t="s">
        <v>130</v>
      </c>
      <c r="C599" s="60">
        <f>C600</f>
        <v>1939200</v>
      </c>
      <c r="D599" s="60">
        <f>D600</f>
        <v>0</v>
      </c>
      <c r="E599" s="60">
        <f>E600</f>
        <v>0</v>
      </c>
      <c r="F599" s="60">
        <f t="shared" si="452"/>
        <v>1939200</v>
      </c>
      <c r="G599" s="60">
        <f t="shared" ref="G599:I599" si="497">G600</f>
        <v>1120000</v>
      </c>
      <c r="H599" s="60">
        <f t="shared" si="497"/>
        <v>0</v>
      </c>
      <c r="I599" s="60">
        <f t="shared" si="497"/>
        <v>0</v>
      </c>
      <c r="J599" s="60">
        <f t="shared" si="493"/>
        <v>1120000</v>
      </c>
      <c r="K599" s="60">
        <f t="shared" ref="K599:M599" si="498">K600</f>
        <v>0</v>
      </c>
      <c r="L599" s="60">
        <f t="shared" si="498"/>
        <v>0</v>
      </c>
      <c r="M599" s="60">
        <f t="shared" si="498"/>
        <v>0</v>
      </c>
      <c r="N599" s="60">
        <f t="shared" si="496"/>
        <v>0</v>
      </c>
      <c r="O599" s="60">
        <f t="shared" si="466"/>
        <v>1120000</v>
      </c>
      <c r="P599" s="60">
        <f t="shared" si="467"/>
        <v>0</v>
      </c>
      <c r="Q599" s="60">
        <f t="shared" si="468"/>
        <v>0</v>
      </c>
      <c r="R599" s="60">
        <f t="shared" si="469"/>
        <v>1120000</v>
      </c>
      <c r="S599" s="84">
        <f t="shared" si="494"/>
        <v>57.755775577557756</v>
      </c>
      <c r="T599" s="84">
        <v>0</v>
      </c>
      <c r="U599" s="84">
        <v>0</v>
      </c>
      <c r="V599" s="84">
        <f t="shared" si="495"/>
        <v>57.755775577557756</v>
      </c>
      <c r="W599" s="60">
        <f t="shared" si="492"/>
        <v>819200</v>
      </c>
      <c r="X599" s="247">
        <f t="shared" si="451"/>
        <v>1120000</v>
      </c>
      <c r="Y599" s="247">
        <f t="shared" si="447"/>
        <v>0</v>
      </c>
      <c r="Z599" s="247">
        <f t="shared" si="448"/>
        <v>0</v>
      </c>
      <c r="AA599" s="93"/>
    </row>
    <row r="600" spans="1:27">
      <c r="A600" s="97" t="s">
        <v>133</v>
      </c>
      <c r="B600" s="97" t="s">
        <v>134</v>
      </c>
      <c r="C600" s="98">
        <v>1939200</v>
      </c>
      <c r="D600" s="46">
        <v>0</v>
      </c>
      <c r="E600" s="46">
        <v>0</v>
      </c>
      <c r="F600" s="46">
        <f t="shared" si="452"/>
        <v>1939200</v>
      </c>
      <c r="G600" s="47">
        <v>1120000</v>
      </c>
      <c r="H600" s="47">
        <v>0</v>
      </c>
      <c r="I600" s="47">
        <v>0</v>
      </c>
      <c r="J600" s="47">
        <f t="shared" si="493"/>
        <v>1120000</v>
      </c>
      <c r="K600" s="47"/>
      <c r="L600" s="47"/>
      <c r="M600" s="47"/>
      <c r="N600" s="47">
        <f t="shared" si="496"/>
        <v>0</v>
      </c>
      <c r="O600" s="47">
        <f t="shared" si="466"/>
        <v>1120000</v>
      </c>
      <c r="P600" s="47">
        <f t="shared" si="467"/>
        <v>0</v>
      </c>
      <c r="Q600" s="47">
        <f t="shared" si="468"/>
        <v>0</v>
      </c>
      <c r="R600" s="47">
        <f t="shared" si="469"/>
        <v>1120000</v>
      </c>
      <c r="S600" s="79">
        <f t="shared" si="494"/>
        <v>57.755775577557756</v>
      </c>
      <c r="T600" s="79">
        <v>0</v>
      </c>
      <c r="U600" s="79">
        <v>0</v>
      </c>
      <c r="V600" s="79">
        <f t="shared" si="495"/>
        <v>57.755775577557756</v>
      </c>
      <c r="W600" s="47">
        <f t="shared" si="492"/>
        <v>819200</v>
      </c>
      <c r="X600" s="247">
        <f t="shared" si="451"/>
        <v>1120000</v>
      </c>
      <c r="Y600" s="247">
        <f t="shared" si="447"/>
        <v>0</v>
      </c>
      <c r="Z600" s="247">
        <f t="shared" si="448"/>
        <v>0</v>
      </c>
      <c r="AA600" s="93"/>
    </row>
    <row r="601" spans="1:27" s="8" customFormat="1">
      <c r="A601" s="96" t="s">
        <v>135</v>
      </c>
      <c r="B601" s="96" t="s">
        <v>136</v>
      </c>
      <c r="C601" s="60">
        <f t="shared" ref="C601:M601" si="499">SUM(C602:C602)</f>
        <v>255600000</v>
      </c>
      <c r="D601" s="60">
        <f t="shared" si="499"/>
        <v>0</v>
      </c>
      <c r="E601" s="60">
        <f t="shared" si="499"/>
        <v>0</v>
      </c>
      <c r="F601" s="60">
        <f t="shared" si="452"/>
        <v>255600000</v>
      </c>
      <c r="G601" s="60">
        <f t="shared" ref="G601:I601" si="500">SUM(G602:G602)</f>
        <v>152454579</v>
      </c>
      <c r="H601" s="60">
        <f t="shared" si="500"/>
        <v>0</v>
      </c>
      <c r="I601" s="60">
        <f t="shared" si="500"/>
        <v>0</v>
      </c>
      <c r="J601" s="60">
        <f t="shared" si="493"/>
        <v>152454579</v>
      </c>
      <c r="K601" s="60">
        <f t="shared" si="499"/>
        <v>0</v>
      </c>
      <c r="L601" s="60">
        <f t="shared" si="499"/>
        <v>0</v>
      </c>
      <c r="M601" s="60">
        <f t="shared" si="499"/>
        <v>0</v>
      </c>
      <c r="N601" s="60">
        <f t="shared" si="496"/>
        <v>0</v>
      </c>
      <c r="O601" s="60">
        <f t="shared" si="466"/>
        <v>152454579</v>
      </c>
      <c r="P601" s="60">
        <f t="shared" si="467"/>
        <v>0</v>
      </c>
      <c r="Q601" s="60">
        <f t="shared" si="468"/>
        <v>0</v>
      </c>
      <c r="R601" s="60">
        <f t="shared" si="469"/>
        <v>152454579</v>
      </c>
      <c r="S601" s="84">
        <f t="shared" si="494"/>
        <v>59.645766431924883</v>
      </c>
      <c r="T601" s="84">
        <v>0</v>
      </c>
      <c r="U601" s="84">
        <v>0</v>
      </c>
      <c r="V601" s="84">
        <f t="shared" si="495"/>
        <v>59.645766431924883</v>
      </c>
      <c r="W601" s="60">
        <f t="shared" si="492"/>
        <v>103145421</v>
      </c>
      <c r="X601" s="247">
        <f t="shared" si="451"/>
        <v>152454579</v>
      </c>
      <c r="Y601" s="247">
        <f t="shared" ref="Y601:Y663" si="501">H601+L601</f>
        <v>0</v>
      </c>
      <c r="Z601" s="247">
        <f t="shared" ref="Z601:Z663" si="502">I601+M601</f>
        <v>0</v>
      </c>
      <c r="AA601" s="93"/>
    </row>
    <row r="602" spans="1:27">
      <c r="A602" s="97" t="s">
        <v>100</v>
      </c>
      <c r="B602" s="97" t="s">
        <v>101</v>
      </c>
      <c r="C602" s="98">
        <v>255600000</v>
      </c>
      <c r="D602" s="46">
        <v>0</v>
      </c>
      <c r="E602" s="46">
        <v>0</v>
      </c>
      <c r="F602" s="46">
        <f t="shared" si="452"/>
        <v>255600000</v>
      </c>
      <c r="G602" s="47">
        <v>152454579</v>
      </c>
      <c r="H602" s="47">
        <v>0</v>
      </c>
      <c r="I602" s="47">
        <v>0</v>
      </c>
      <c r="J602" s="47">
        <f t="shared" si="493"/>
        <v>152454579</v>
      </c>
      <c r="K602" s="47"/>
      <c r="L602" s="47"/>
      <c r="M602" s="47"/>
      <c r="N602" s="47">
        <f t="shared" si="496"/>
        <v>0</v>
      </c>
      <c r="O602" s="47">
        <f t="shared" si="466"/>
        <v>152454579</v>
      </c>
      <c r="P602" s="47">
        <f t="shared" si="467"/>
        <v>0</v>
      </c>
      <c r="Q602" s="47">
        <f t="shared" si="468"/>
        <v>0</v>
      </c>
      <c r="R602" s="47">
        <f t="shared" si="469"/>
        <v>152454579</v>
      </c>
      <c r="S602" s="79">
        <f t="shared" si="494"/>
        <v>59.645766431924883</v>
      </c>
      <c r="T602" s="79">
        <v>0</v>
      </c>
      <c r="U602" s="79">
        <v>0</v>
      </c>
      <c r="V602" s="79">
        <f t="shared" si="495"/>
        <v>59.645766431924883</v>
      </c>
      <c r="W602" s="47">
        <f t="shared" si="492"/>
        <v>103145421</v>
      </c>
      <c r="X602" s="247">
        <f t="shared" ref="X602:X663" si="503">G602+K602</f>
        <v>152454579</v>
      </c>
      <c r="Y602" s="247">
        <f t="shared" si="501"/>
        <v>0</v>
      </c>
      <c r="Z602" s="247">
        <f t="shared" si="502"/>
        <v>0</v>
      </c>
      <c r="AA602" s="93"/>
    </row>
    <row r="603" spans="1:27" s="6" customFormat="1" ht="17.25" customHeight="1">
      <c r="A603" s="38" t="s">
        <v>141</v>
      </c>
      <c r="B603" s="137" t="s">
        <v>142</v>
      </c>
      <c r="C603" s="62">
        <f>C607+C604</f>
        <v>874452400</v>
      </c>
      <c r="D603" s="62">
        <f>D607</f>
        <v>0</v>
      </c>
      <c r="E603" s="62">
        <f>E607</f>
        <v>0</v>
      </c>
      <c r="F603" s="62">
        <f t="shared" si="452"/>
        <v>874452400</v>
      </c>
      <c r="G603" s="62">
        <f>G604+G607</f>
        <v>808320716</v>
      </c>
      <c r="H603" s="62">
        <f t="shared" ref="H603:I603" si="504">H604+H607</f>
        <v>0</v>
      </c>
      <c r="I603" s="62">
        <f t="shared" si="504"/>
        <v>0</v>
      </c>
      <c r="J603" s="62">
        <f t="shared" si="493"/>
        <v>808320716</v>
      </c>
      <c r="K603" s="62">
        <f t="shared" ref="K603:M603" si="505">K607</f>
        <v>0</v>
      </c>
      <c r="L603" s="62">
        <f t="shared" si="505"/>
        <v>0</v>
      </c>
      <c r="M603" s="62">
        <f t="shared" si="505"/>
        <v>0</v>
      </c>
      <c r="N603" s="62">
        <f t="shared" si="496"/>
        <v>0</v>
      </c>
      <c r="O603" s="62">
        <f t="shared" si="466"/>
        <v>808320716</v>
      </c>
      <c r="P603" s="62">
        <f t="shared" si="467"/>
        <v>0</v>
      </c>
      <c r="Q603" s="62">
        <f t="shared" si="468"/>
        <v>0</v>
      </c>
      <c r="R603" s="62">
        <f t="shared" si="469"/>
        <v>808320716</v>
      </c>
      <c r="S603" s="85">
        <f t="shared" si="494"/>
        <v>92.43736034116894</v>
      </c>
      <c r="T603" s="85">
        <v>0</v>
      </c>
      <c r="U603" s="85">
        <v>0</v>
      </c>
      <c r="V603" s="85">
        <f t="shared" si="495"/>
        <v>92.43736034116894</v>
      </c>
      <c r="W603" s="62">
        <f t="shared" si="492"/>
        <v>66131684</v>
      </c>
      <c r="X603" s="247">
        <f t="shared" si="503"/>
        <v>808320716</v>
      </c>
      <c r="Y603" s="247">
        <f t="shared" si="501"/>
        <v>0</v>
      </c>
      <c r="Z603" s="247">
        <f t="shared" si="502"/>
        <v>0</v>
      </c>
      <c r="AA603" s="93"/>
    </row>
    <row r="604" spans="1:27" s="8" customFormat="1">
      <c r="A604" s="96" t="s">
        <v>143</v>
      </c>
      <c r="B604" s="96" t="s">
        <v>144</v>
      </c>
      <c r="C604" s="60">
        <f>SUM(C605:C606)</f>
        <v>531372000</v>
      </c>
      <c r="D604" s="60">
        <f>SUM(D605:D606)</f>
        <v>0</v>
      </c>
      <c r="E604" s="60">
        <f>SUM(E605:E606)</f>
        <v>0</v>
      </c>
      <c r="F604" s="60">
        <f t="shared" ref="F604:F663" si="506">C604+D604+E604</f>
        <v>531372000</v>
      </c>
      <c r="G604" s="60">
        <f t="shared" ref="G604:I604" si="507">SUM(G605:G606)</f>
        <v>470154968</v>
      </c>
      <c r="H604" s="60">
        <f t="shared" si="507"/>
        <v>0</v>
      </c>
      <c r="I604" s="60">
        <f t="shared" si="507"/>
        <v>0</v>
      </c>
      <c r="J604" s="60">
        <f t="shared" si="493"/>
        <v>470154968</v>
      </c>
      <c r="K604" s="60">
        <f t="shared" ref="K604:M604" si="508">SUM(K605:K606)</f>
        <v>0</v>
      </c>
      <c r="L604" s="60">
        <f t="shared" si="508"/>
        <v>0</v>
      </c>
      <c r="M604" s="60">
        <f t="shared" si="508"/>
        <v>0</v>
      </c>
      <c r="N604" s="60">
        <f t="shared" si="496"/>
        <v>0</v>
      </c>
      <c r="O604" s="60">
        <f t="shared" si="466"/>
        <v>470154968</v>
      </c>
      <c r="P604" s="60">
        <f t="shared" si="467"/>
        <v>0</v>
      </c>
      <c r="Q604" s="60">
        <f t="shared" si="468"/>
        <v>0</v>
      </c>
      <c r="R604" s="60">
        <f t="shared" si="469"/>
        <v>470154968</v>
      </c>
      <c r="S604" s="84">
        <f t="shared" si="494"/>
        <v>88.479439639273423</v>
      </c>
      <c r="T604" s="84">
        <v>0</v>
      </c>
      <c r="U604" s="84">
        <v>0</v>
      </c>
      <c r="V604" s="84">
        <f t="shared" si="495"/>
        <v>88.479439639273423</v>
      </c>
      <c r="W604" s="60">
        <f t="shared" si="492"/>
        <v>61217032</v>
      </c>
      <c r="X604" s="247">
        <f t="shared" si="503"/>
        <v>470154968</v>
      </c>
      <c r="Y604" s="247">
        <f t="shared" si="501"/>
        <v>0</v>
      </c>
      <c r="Z604" s="247">
        <f t="shared" si="502"/>
        <v>0</v>
      </c>
      <c r="AA604" s="93"/>
    </row>
    <row r="605" spans="1:27">
      <c r="A605" s="97" t="s">
        <v>495</v>
      </c>
      <c r="B605" s="97" t="s">
        <v>496</v>
      </c>
      <c r="C605" s="98">
        <v>342000000</v>
      </c>
      <c r="D605" s="46">
        <v>0</v>
      </c>
      <c r="E605" s="46">
        <v>0</v>
      </c>
      <c r="F605" s="46">
        <f t="shared" si="506"/>
        <v>342000000</v>
      </c>
      <c r="G605" s="47">
        <v>287600000</v>
      </c>
      <c r="H605" s="47"/>
      <c r="I605" s="47"/>
      <c r="J605" s="47">
        <f t="shared" si="493"/>
        <v>287600000</v>
      </c>
      <c r="K605" s="47"/>
      <c r="L605" s="47"/>
      <c r="M605" s="47"/>
      <c r="N605" s="47">
        <f t="shared" si="496"/>
        <v>0</v>
      </c>
      <c r="O605" s="47">
        <f t="shared" si="466"/>
        <v>287600000</v>
      </c>
      <c r="P605" s="47">
        <f t="shared" si="467"/>
        <v>0</v>
      </c>
      <c r="Q605" s="47">
        <f t="shared" si="468"/>
        <v>0</v>
      </c>
      <c r="R605" s="47">
        <f t="shared" si="469"/>
        <v>287600000</v>
      </c>
      <c r="S605" s="79">
        <f t="shared" si="494"/>
        <v>84.093567251461991</v>
      </c>
      <c r="T605" s="79">
        <v>0</v>
      </c>
      <c r="U605" s="79">
        <v>0</v>
      </c>
      <c r="V605" s="79">
        <f t="shared" si="495"/>
        <v>84.093567251461991</v>
      </c>
      <c r="W605" s="47">
        <f t="shared" si="492"/>
        <v>54400000</v>
      </c>
      <c r="X605" s="247">
        <f t="shared" si="503"/>
        <v>287600000</v>
      </c>
      <c r="Y605" s="247">
        <f t="shared" si="501"/>
        <v>0</v>
      </c>
      <c r="Z605" s="247">
        <f t="shared" si="502"/>
        <v>0</v>
      </c>
      <c r="AA605" s="93"/>
    </row>
    <row r="606" spans="1:27">
      <c r="A606" s="97" t="s">
        <v>409</v>
      </c>
      <c r="B606" s="97" t="s">
        <v>410</v>
      </c>
      <c r="C606" s="98">
        <v>189372000</v>
      </c>
      <c r="D606" s="46">
        <v>0</v>
      </c>
      <c r="E606" s="46">
        <v>0</v>
      </c>
      <c r="F606" s="46">
        <f t="shared" si="506"/>
        <v>189372000</v>
      </c>
      <c r="G606" s="47">
        <v>182554968</v>
      </c>
      <c r="H606" s="47"/>
      <c r="I606" s="47"/>
      <c r="J606" s="47">
        <f t="shared" si="493"/>
        <v>182554968</v>
      </c>
      <c r="K606" s="47"/>
      <c r="L606" s="47"/>
      <c r="M606" s="47"/>
      <c r="N606" s="47">
        <f t="shared" si="496"/>
        <v>0</v>
      </c>
      <c r="O606" s="47">
        <f t="shared" si="466"/>
        <v>182554968</v>
      </c>
      <c r="P606" s="47">
        <f t="shared" si="467"/>
        <v>0</v>
      </c>
      <c r="Q606" s="47">
        <f t="shared" si="468"/>
        <v>0</v>
      </c>
      <c r="R606" s="47">
        <f t="shared" si="469"/>
        <v>182554968</v>
      </c>
      <c r="S606" s="79">
        <f t="shared" si="494"/>
        <v>96.400190102021426</v>
      </c>
      <c r="T606" s="79">
        <v>0</v>
      </c>
      <c r="U606" s="79">
        <v>0</v>
      </c>
      <c r="V606" s="79">
        <f t="shared" si="495"/>
        <v>96.400190102021426</v>
      </c>
      <c r="W606" s="47">
        <f t="shared" si="492"/>
        <v>6817032</v>
      </c>
      <c r="X606" s="247">
        <f t="shared" si="503"/>
        <v>182554968</v>
      </c>
      <c r="Y606" s="247">
        <f t="shared" si="501"/>
        <v>0</v>
      </c>
      <c r="Z606" s="247">
        <f t="shared" si="502"/>
        <v>0</v>
      </c>
      <c r="AA606" s="93"/>
    </row>
    <row r="607" spans="1:27" s="8" customFormat="1">
      <c r="A607" s="96" t="s">
        <v>497</v>
      </c>
      <c r="B607" s="96" t="s">
        <v>498</v>
      </c>
      <c r="C607" s="60">
        <f>SUM(C608:C611)</f>
        <v>343080400</v>
      </c>
      <c r="D607" s="60">
        <f>SUM(D608:D611)</f>
        <v>0</v>
      </c>
      <c r="E607" s="60">
        <f>SUM(E608:E611)</f>
        <v>0</v>
      </c>
      <c r="F607" s="60">
        <f t="shared" si="506"/>
        <v>343080400</v>
      </c>
      <c r="G607" s="60">
        <f t="shared" ref="G607:I607" si="509">SUM(G608:G611)</f>
        <v>338165748</v>
      </c>
      <c r="H607" s="60">
        <f t="shared" si="509"/>
        <v>0</v>
      </c>
      <c r="I607" s="60">
        <f t="shared" si="509"/>
        <v>0</v>
      </c>
      <c r="J607" s="60">
        <f t="shared" si="493"/>
        <v>338165748</v>
      </c>
      <c r="K607" s="60">
        <f t="shared" ref="K607:M607" si="510">SUM(K608:K611)</f>
        <v>0</v>
      </c>
      <c r="L607" s="60">
        <f t="shared" si="510"/>
        <v>0</v>
      </c>
      <c r="M607" s="60">
        <f t="shared" si="510"/>
        <v>0</v>
      </c>
      <c r="N607" s="60">
        <f t="shared" si="496"/>
        <v>0</v>
      </c>
      <c r="O607" s="60">
        <f t="shared" si="466"/>
        <v>338165748</v>
      </c>
      <c r="P607" s="60">
        <f t="shared" si="467"/>
        <v>0</v>
      </c>
      <c r="Q607" s="60">
        <f t="shared" si="468"/>
        <v>0</v>
      </c>
      <c r="R607" s="60">
        <f t="shared" si="469"/>
        <v>338165748</v>
      </c>
      <c r="S607" s="84">
        <f t="shared" si="494"/>
        <v>98.56749263437959</v>
      </c>
      <c r="T607" s="84">
        <v>0</v>
      </c>
      <c r="U607" s="84">
        <v>0</v>
      </c>
      <c r="V607" s="84">
        <f t="shared" si="495"/>
        <v>98.56749263437959</v>
      </c>
      <c r="W607" s="60">
        <f t="shared" si="492"/>
        <v>4914652</v>
      </c>
      <c r="X607" s="247">
        <f t="shared" si="503"/>
        <v>338165748</v>
      </c>
      <c r="Y607" s="247">
        <f t="shared" si="501"/>
        <v>0</v>
      </c>
      <c r="Z607" s="247">
        <f t="shared" si="502"/>
        <v>0</v>
      </c>
      <c r="AA607" s="93"/>
    </row>
    <row r="608" spans="1:27">
      <c r="A608" s="97" t="s">
        <v>419</v>
      </c>
      <c r="B608" s="97" t="s">
        <v>420</v>
      </c>
      <c r="C608" s="98">
        <v>6224000</v>
      </c>
      <c r="D608" s="46">
        <v>0</v>
      </c>
      <c r="E608" s="46">
        <v>0</v>
      </c>
      <c r="F608" s="46">
        <f t="shared" si="506"/>
        <v>6224000</v>
      </c>
      <c r="G608" s="47">
        <v>5999998</v>
      </c>
      <c r="H608" s="47"/>
      <c r="I608" s="47"/>
      <c r="J608" s="47">
        <f t="shared" si="493"/>
        <v>5999998</v>
      </c>
      <c r="K608" s="47"/>
      <c r="L608" s="47"/>
      <c r="M608" s="47"/>
      <c r="N608" s="47">
        <f t="shared" si="496"/>
        <v>0</v>
      </c>
      <c r="O608" s="47">
        <f t="shared" si="466"/>
        <v>5999998</v>
      </c>
      <c r="P608" s="47">
        <f t="shared" si="467"/>
        <v>0</v>
      </c>
      <c r="Q608" s="47">
        <f t="shared" si="468"/>
        <v>0</v>
      </c>
      <c r="R608" s="47">
        <f t="shared" si="469"/>
        <v>5999998</v>
      </c>
      <c r="S608" s="79">
        <f t="shared" si="494"/>
        <v>96.400996143958878</v>
      </c>
      <c r="T608" s="79">
        <v>0</v>
      </c>
      <c r="U608" s="79">
        <v>0</v>
      </c>
      <c r="V608" s="79">
        <f t="shared" si="495"/>
        <v>96.400996143958878</v>
      </c>
      <c r="W608" s="47">
        <f t="shared" si="492"/>
        <v>224002</v>
      </c>
      <c r="X608" s="247">
        <f t="shared" si="503"/>
        <v>5999998</v>
      </c>
      <c r="Y608" s="247">
        <f t="shared" si="501"/>
        <v>0</v>
      </c>
      <c r="Z608" s="247">
        <f t="shared" si="502"/>
        <v>0</v>
      </c>
      <c r="AA608" s="93"/>
    </row>
    <row r="609" spans="1:27">
      <c r="A609" s="97" t="s">
        <v>421</v>
      </c>
      <c r="B609" s="97" t="s">
        <v>422</v>
      </c>
      <c r="C609" s="98">
        <v>25836500</v>
      </c>
      <c r="D609" s="46">
        <v>0</v>
      </c>
      <c r="E609" s="46">
        <v>0</v>
      </c>
      <c r="F609" s="46">
        <f t="shared" si="506"/>
        <v>25836500</v>
      </c>
      <c r="G609" s="47">
        <v>25674000</v>
      </c>
      <c r="H609" s="47"/>
      <c r="I609" s="47"/>
      <c r="J609" s="47">
        <f t="shared" si="493"/>
        <v>25674000</v>
      </c>
      <c r="K609" s="47"/>
      <c r="L609" s="47"/>
      <c r="M609" s="47"/>
      <c r="N609" s="47">
        <f t="shared" si="496"/>
        <v>0</v>
      </c>
      <c r="O609" s="47">
        <f t="shared" si="466"/>
        <v>25674000</v>
      </c>
      <c r="P609" s="47">
        <f t="shared" si="467"/>
        <v>0</v>
      </c>
      <c r="Q609" s="47">
        <f t="shared" si="468"/>
        <v>0</v>
      </c>
      <c r="R609" s="47">
        <f t="shared" si="469"/>
        <v>25674000</v>
      </c>
      <c r="S609" s="79">
        <f t="shared" si="494"/>
        <v>99.371044839664819</v>
      </c>
      <c r="T609" s="79">
        <v>0</v>
      </c>
      <c r="U609" s="79">
        <v>0</v>
      </c>
      <c r="V609" s="79">
        <f t="shared" si="495"/>
        <v>99.371044839664819</v>
      </c>
      <c r="W609" s="47">
        <f t="shared" si="492"/>
        <v>162500</v>
      </c>
      <c r="X609" s="247">
        <f t="shared" si="503"/>
        <v>25674000</v>
      </c>
      <c r="Y609" s="247">
        <f t="shared" si="501"/>
        <v>0</v>
      </c>
      <c r="Z609" s="247">
        <f t="shared" si="502"/>
        <v>0</v>
      </c>
      <c r="AA609" s="93"/>
    </row>
    <row r="610" spans="1:27">
      <c r="A610" s="97" t="s">
        <v>379</v>
      </c>
      <c r="B610" s="97" t="s">
        <v>380</v>
      </c>
      <c r="C610" s="98">
        <v>17649900</v>
      </c>
      <c r="D610" s="46">
        <v>0</v>
      </c>
      <c r="E610" s="46">
        <v>0</v>
      </c>
      <c r="F610" s="46">
        <f t="shared" si="506"/>
        <v>17649900</v>
      </c>
      <c r="G610" s="47">
        <v>15533000</v>
      </c>
      <c r="H610" s="47"/>
      <c r="I610" s="47"/>
      <c r="J610" s="47">
        <f t="shared" si="493"/>
        <v>15533000</v>
      </c>
      <c r="K610" s="47"/>
      <c r="L610" s="47"/>
      <c r="M610" s="47"/>
      <c r="N610" s="47">
        <f t="shared" si="496"/>
        <v>0</v>
      </c>
      <c r="O610" s="47">
        <f t="shared" si="466"/>
        <v>15533000</v>
      </c>
      <c r="P610" s="47">
        <f t="shared" si="467"/>
        <v>0</v>
      </c>
      <c r="Q610" s="47">
        <f t="shared" si="468"/>
        <v>0</v>
      </c>
      <c r="R610" s="47">
        <f t="shared" si="469"/>
        <v>15533000</v>
      </c>
      <c r="S610" s="79">
        <f t="shared" si="494"/>
        <v>88.006164340874449</v>
      </c>
      <c r="T610" s="79">
        <v>0</v>
      </c>
      <c r="U610" s="79">
        <v>0</v>
      </c>
      <c r="V610" s="79">
        <f t="shared" si="495"/>
        <v>88.006164340874449</v>
      </c>
      <c r="W610" s="47">
        <f t="shared" si="492"/>
        <v>2116900</v>
      </c>
      <c r="X610" s="247">
        <f t="shared" si="503"/>
        <v>15533000</v>
      </c>
      <c r="Y610" s="247">
        <f t="shared" si="501"/>
        <v>0</v>
      </c>
      <c r="Z610" s="247">
        <f t="shared" si="502"/>
        <v>0</v>
      </c>
      <c r="AA610" s="93"/>
    </row>
    <row r="611" spans="1:27">
      <c r="A611" s="97" t="s">
        <v>381</v>
      </c>
      <c r="B611" s="97" t="s">
        <v>212</v>
      </c>
      <c r="C611" s="98">
        <v>293370000</v>
      </c>
      <c r="D611" s="46">
        <v>0</v>
      </c>
      <c r="E611" s="46">
        <v>0</v>
      </c>
      <c r="F611" s="46">
        <f t="shared" si="506"/>
        <v>293370000</v>
      </c>
      <c r="G611" s="47">
        <v>290958750</v>
      </c>
      <c r="H611" s="47">
        <v>0</v>
      </c>
      <c r="I611" s="47">
        <v>0</v>
      </c>
      <c r="J611" s="47">
        <f t="shared" si="493"/>
        <v>290958750</v>
      </c>
      <c r="K611" s="47"/>
      <c r="L611" s="47"/>
      <c r="M611" s="47"/>
      <c r="N611" s="47">
        <f t="shared" si="496"/>
        <v>0</v>
      </c>
      <c r="O611" s="47">
        <f t="shared" si="466"/>
        <v>290958750</v>
      </c>
      <c r="P611" s="47">
        <f t="shared" si="467"/>
        <v>0</v>
      </c>
      <c r="Q611" s="47">
        <f t="shared" si="468"/>
        <v>0</v>
      </c>
      <c r="R611" s="47">
        <f t="shared" si="469"/>
        <v>290958750</v>
      </c>
      <c r="S611" s="79">
        <f t="shared" si="494"/>
        <v>99.178085693833722</v>
      </c>
      <c r="T611" s="79">
        <v>0</v>
      </c>
      <c r="U611" s="79">
        <v>0</v>
      </c>
      <c r="V611" s="79">
        <f t="shared" si="495"/>
        <v>99.178085693833722</v>
      </c>
      <c r="W611" s="47">
        <f t="shared" si="492"/>
        <v>2411250</v>
      </c>
      <c r="X611" s="247">
        <f t="shared" si="503"/>
        <v>290958750</v>
      </c>
      <c r="Y611" s="247">
        <f t="shared" si="501"/>
        <v>0</v>
      </c>
      <c r="Z611" s="247">
        <f t="shared" si="502"/>
        <v>0</v>
      </c>
      <c r="AA611" s="93"/>
    </row>
    <row r="612" spans="1:27" s="9" customFormat="1" ht="22.5" customHeight="1">
      <c r="A612" s="38" t="s">
        <v>169</v>
      </c>
      <c r="B612" s="61" t="s">
        <v>170</v>
      </c>
      <c r="C612" s="62">
        <f>C613+C615+C619+C621</f>
        <v>791300400</v>
      </c>
      <c r="D612" s="62">
        <f>D613+D615+D619+D621</f>
        <v>0</v>
      </c>
      <c r="E612" s="62">
        <f>E613+E615+E619+E621</f>
        <v>0</v>
      </c>
      <c r="F612" s="62">
        <f t="shared" si="506"/>
        <v>791300400</v>
      </c>
      <c r="G612" s="62">
        <f t="shared" ref="G612:H612" si="511">G613+G615+G619+G621</f>
        <v>372234362</v>
      </c>
      <c r="H612" s="62">
        <f t="shared" si="511"/>
        <v>0</v>
      </c>
      <c r="I612" s="62">
        <f>I613+I615+I619+I621</f>
        <v>0</v>
      </c>
      <c r="J612" s="62">
        <f t="shared" si="493"/>
        <v>372234362</v>
      </c>
      <c r="K612" s="62">
        <f t="shared" ref="K612:L612" si="512">K613+K615+K619+K621</f>
        <v>0</v>
      </c>
      <c r="L612" s="62">
        <f t="shared" si="512"/>
        <v>0</v>
      </c>
      <c r="M612" s="62">
        <f>M613+M615+M619+M621</f>
        <v>0</v>
      </c>
      <c r="N612" s="62">
        <f t="shared" si="496"/>
        <v>0</v>
      </c>
      <c r="O612" s="62">
        <f t="shared" si="466"/>
        <v>372234362</v>
      </c>
      <c r="P612" s="62">
        <f t="shared" si="467"/>
        <v>0</v>
      </c>
      <c r="Q612" s="62">
        <f t="shared" si="468"/>
        <v>0</v>
      </c>
      <c r="R612" s="62">
        <f t="shared" si="469"/>
        <v>372234362</v>
      </c>
      <c r="S612" s="85">
        <f t="shared" si="494"/>
        <v>47.040840874085241</v>
      </c>
      <c r="T612" s="85">
        <v>0</v>
      </c>
      <c r="U612" s="85">
        <v>0</v>
      </c>
      <c r="V612" s="85">
        <f t="shared" si="495"/>
        <v>47.040840874085241</v>
      </c>
      <c r="W612" s="62">
        <f t="shared" si="492"/>
        <v>419066038</v>
      </c>
      <c r="X612" s="247">
        <f t="shared" si="503"/>
        <v>372234362</v>
      </c>
      <c r="Y612" s="247">
        <f t="shared" si="501"/>
        <v>0</v>
      </c>
      <c r="Z612" s="247">
        <f t="shared" si="502"/>
        <v>0</v>
      </c>
      <c r="AA612" s="93"/>
    </row>
    <row r="613" spans="1:27" s="8" customFormat="1">
      <c r="A613" s="96" t="s">
        <v>171</v>
      </c>
      <c r="B613" s="96" t="s">
        <v>172</v>
      </c>
      <c r="C613" s="60">
        <f t="shared" ref="C613:M613" si="513">SUM(C614:C614)</f>
        <v>4800000</v>
      </c>
      <c r="D613" s="60">
        <f t="shared" si="513"/>
        <v>0</v>
      </c>
      <c r="E613" s="60">
        <f t="shared" si="513"/>
        <v>0</v>
      </c>
      <c r="F613" s="60">
        <f t="shared" si="506"/>
        <v>4800000</v>
      </c>
      <c r="G613" s="60">
        <f t="shared" ref="G613:I613" si="514">SUM(G614:G614)</f>
        <v>4800000</v>
      </c>
      <c r="H613" s="60">
        <f t="shared" si="514"/>
        <v>0</v>
      </c>
      <c r="I613" s="60">
        <f t="shared" si="514"/>
        <v>0</v>
      </c>
      <c r="J613" s="60">
        <f t="shared" si="493"/>
        <v>4800000</v>
      </c>
      <c r="K613" s="60">
        <f t="shared" si="513"/>
        <v>0</v>
      </c>
      <c r="L613" s="60">
        <f t="shared" si="513"/>
        <v>0</v>
      </c>
      <c r="M613" s="60">
        <f t="shared" si="513"/>
        <v>0</v>
      </c>
      <c r="N613" s="60">
        <f t="shared" si="496"/>
        <v>0</v>
      </c>
      <c r="O613" s="60">
        <f t="shared" si="466"/>
        <v>4800000</v>
      </c>
      <c r="P613" s="60">
        <f t="shared" si="467"/>
        <v>0</v>
      </c>
      <c r="Q613" s="60">
        <f t="shared" si="468"/>
        <v>0</v>
      </c>
      <c r="R613" s="60">
        <f t="shared" si="469"/>
        <v>4800000</v>
      </c>
      <c r="S613" s="84">
        <f t="shared" si="494"/>
        <v>100</v>
      </c>
      <c r="T613" s="84">
        <v>0</v>
      </c>
      <c r="U613" s="84">
        <v>0</v>
      </c>
      <c r="V613" s="84">
        <f t="shared" si="495"/>
        <v>100</v>
      </c>
      <c r="W613" s="60">
        <f t="shared" si="492"/>
        <v>0</v>
      </c>
      <c r="X613" s="247">
        <f t="shared" si="503"/>
        <v>4800000</v>
      </c>
      <c r="Y613" s="247">
        <f t="shared" si="501"/>
        <v>0</v>
      </c>
      <c r="Z613" s="247">
        <f t="shared" si="502"/>
        <v>0</v>
      </c>
      <c r="AA613" s="93"/>
    </row>
    <row r="614" spans="1:27">
      <c r="A614" s="97" t="s">
        <v>173</v>
      </c>
      <c r="B614" s="97" t="s">
        <v>174</v>
      </c>
      <c r="C614" s="98">
        <v>4800000</v>
      </c>
      <c r="D614" s="46">
        <v>0</v>
      </c>
      <c r="E614" s="46">
        <v>0</v>
      </c>
      <c r="F614" s="46">
        <f t="shared" si="506"/>
        <v>4800000</v>
      </c>
      <c r="G614" s="47">
        <v>4800000</v>
      </c>
      <c r="H614" s="47"/>
      <c r="I614" s="47"/>
      <c r="J614" s="47">
        <f t="shared" si="493"/>
        <v>4800000</v>
      </c>
      <c r="K614" s="47"/>
      <c r="L614" s="47"/>
      <c r="M614" s="47"/>
      <c r="N614" s="47">
        <f t="shared" si="496"/>
        <v>0</v>
      </c>
      <c r="O614" s="47">
        <f t="shared" si="466"/>
        <v>4800000</v>
      </c>
      <c r="P614" s="47">
        <f t="shared" si="467"/>
        <v>0</v>
      </c>
      <c r="Q614" s="47">
        <f t="shared" si="468"/>
        <v>0</v>
      </c>
      <c r="R614" s="47">
        <f t="shared" si="469"/>
        <v>4800000</v>
      </c>
      <c r="S614" s="79">
        <f t="shared" si="494"/>
        <v>100</v>
      </c>
      <c r="T614" s="79">
        <v>0</v>
      </c>
      <c r="U614" s="79">
        <v>0</v>
      </c>
      <c r="V614" s="79">
        <f t="shared" si="495"/>
        <v>100</v>
      </c>
      <c r="W614" s="47">
        <f t="shared" si="492"/>
        <v>0</v>
      </c>
      <c r="X614" s="247">
        <f t="shared" si="503"/>
        <v>4800000</v>
      </c>
      <c r="Y614" s="247">
        <f t="shared" si="501"/>
        <v>0</v>
      </c>
      <c r="Z614" s="247">
        <f t="shared" si="502"/>
        <v>0</v>
      </c>
      <c r="AA614" s="93"/>
    </row>
    <row r="615" spans="1:27" s="8" customFormat="1">
      <c r="A615" s="96" t="s">
        <v>175</v>
      </c>
      <c r="B615" s="96" t="s">
        <v>176</v>
      </c>
      <c r="C615" s="60">
        <f>SUM(C616:C618)</f>
        <v>147672000</v>
      </c>
      <c r="D615" s="60">
        <f>SUM(D616:D618)</f>
        <v>0</v>
      </c>
      <c r="E615" s="60">
        <f>SUM(E616:E618)</f>
        <v>0</v>
      </c>
      <c r="F615" s="60">
        <f t="shared" si="506"/>
        <v>147672000</v>
      </c>
      <c r="G615" s="60">
        <f t="shared" ref="G615:H615" si="515">SUM(G616:G618)</f>
        <v>59680430</v>
      </c>
      <c r="H615" s="60">
        <f t="shared" si="515"/>
        <v>0</v>
      </c>
      <c r="I615" s="60">
        <f>SUM(I616:I618)</f>
        <v>0</v>
      </c>
      <c r="J615" s="60">
        <f t="shared" si="493"/>
        <v>59680430</v>
      </c>
      <c r="K615" s="60">
        <f t="shared" ref="K615:L615" si="516">SUM(K616:K618)</f>
        <v>0</v>
      </c>
      <c r="L615" s="60">
        <f t="shared" si="516"/>
        <v>0</v>
      </c>
      <c r="M615" s="60">
        <f>SUM(M616:M618)</f>
        <v>0</v>
      </c>
      <c r="N615" s="60">
        <f t="shared" si="496"/>
        <v>0</v>
      </c>
      <c r="O615" s="60">
        <f t="shared" si="466"/>
        <v>59680430</v>
      </c>
      <c r="P615" s="60">
        <f t="shared" si="467"/>
        <v>0</v>
      </c>
      <c r="Q615" s="60">
        <f t="shared" si="468"/>
        <v>0</v>
      </c>
      <c r="R615" s="60">
        <f t="shared" si="469"/>
        <v>59680430</v>
      </c>
      <c r="S615" s="84">
        <f t="shared" si="494"/>
        <v>40.414181429113171</v>
      </c>
      <c r="T615" s="84">
        <v>0</v>
      </c>
      <c r="U615" s="84">
        <v>0</v>
      </c>
      <c r="V615" s="84">
        <f t="shared" si="495"/>
        <v>40.414181429113171</v>
      </c>
      <c r="W615" s="60">
        <f t="shared" si="492"/>
        <v>87991570</v>
      </c>
      <c r="X615" s="247">
        <f t="shared" si="503"/>
        <v>59680430</v>
      </c>
      <c r="Y615" s="247">
        <f t="shared" si="501"/>
        <v>0</v>
      </c>
      <c r="Z615" s="247">
        <f t="shared" si="502"/>
        <v>0</v>
      </c>
      <c r="AA615" s="93"/>
    </row>
    <row r="616" spans="1:27" ht="18" customHeight="1">
      <c r="A616" s="97" t="s">
        <v>179</v>
      </c>
      <c r="B616" s="97" t="s">
        <v>180</v>
      </c>
      <c r="C616" s="98">
        <v>3060000</v>
      </c>
      <c r="D616" s="46">
        <v>0</v>
      </c>
      <c r="E616" s="46">
        <v>0</v>
      </c>
      <c r="F616" s="46">
        <f t="shared" si="506"/>
        <v>3060000</v>
      </c>
      <c r="G616" s="47">
        <v>1881080</v>
      </c>
      <c r="H616" s="47">
        <v>0</v>
      </c>
      <c r="I616" s="47">
        <v>0</v>
      </c>
      <c r="J616" s="47">
        <f t="shared" si="493"/>
        <v>1881080</v>
      </c>
      <c r="K616" s="47"/>
      <c r="L616" s="47"/>
      <c r="M616" s="47"/>
      <c r="N616" s="47">
        <f t="shared" si="496"/>
        <v>0</v>
      </c>
      <c r="O616" s="47">
        <f t="shared" si="466"/>
        <v>1881080</v>
      </c>
      <c r="P616" s="47">
        <f t="shared" si="467"/>
        <v>0</v>
      </c>
      <c r="Q616" s="47">
        <f t="shared" si="468"/>
        <v>0</v>
      </c>
      <c r="R616" s="47">
        <f t="shared" si="469"/>
        <v>1881080</v>
      </c>
      <c r="S616" s="79">
        <f t="shared" si="494"/>
        <v>61.473202614379083</v>
      </c>
      <c r="T616" s="79">
        <v>0</v>
      </c>
      <c r="U616" s="79">
        <v>0</v>
      </c>
      <c r="V616" s="79">
        <f t="shared" si="495"/>
        <v>61.473202614379083</v>
      </c>
      <c r="W616" s="47">
        <f t="shared" si="492"/>
        <v>1178920</v>
      </c>
      <c r="X616" s="247">
        <f t="shared" si="503"/>
        <v>1881080</v>
      </c>
      <c r="Y616" s="247">
        <f t="shared" si="501"/>
        <v>0</v>
      </c>
      <c r="Z616" s="247">
        <f t="shared" si="502"/>
        <v>0</v>
      </c>
      <c r="AA616" s="93"/>
    </row>
    <row r="617" spans="1:27">
      <c r="A617" s="97" t="s">
        <v>181</v>
      </c>
      <c r="B617" s="97" t="s">
        <v>182</v>
      </c>
      <c r="C617" s="98">
        <v>90000000</v>
      </c>
      <c r="D617" s="46">
        <v>0</v>
      </c>
      <c r="E617" s="46">
        <v>0</v>
      </c>
      <c r="F617" s="46">
        <f t="shared" si="506"/>
        <v>90000000</v>
      </c>
      <c r="G617" s="47">
        <v>44536982</v>
      </c>
      <c r="H617" s="47">
        <v>0</v>
      </c>
      <c r="I617" s="47">
        <v>0</v>
      </c>
      <c r="J617" s="47">
        <f t="shared" si="493"/>
        <v>44536982</v>
      </c>
      <c r="K617" s="47"/>
      <c r="L617" s="47"/>
      <c r="M617" s="47"/>
      <c r="N617" s="47">
        <f t="shared" si="496"/>
        <v>0</v>
      </c>
      <c r="O617" s="47">
        <f t="shared" si="466"/>
        <v>44536982</v>
      </c>
      <c r="P617" s="47">
        <f t="shared" si="467"/>
        <v>0</v>
      </c>
      <c r="Q617" s="47">
        <f t="shared" si="468"/>
        <v>0</v>
      </c>
      <c r="R617" s="47">
        <f t="shared" si="469"/>
        <v>44536982</v>
      </c>
      <c r="S617" s="79">
        <f t="shared" si="494"/>
        <v>49.485535555555558</v>
      </c>
      <c r="T617" s="79">
        <v>0</v>
      </c>
      <c r="U617" s="79">
        <v>0</v>
      </c>
      <c r="V617" s="79">
        <f t="shared" si="495"/>
        <v>49.485535555555558</v>
      </c>
      <c r="W617" s="47">
        <f t="shared" si="492"/>
        <v>45463018</v>
      </c>
      <c r="X617" s="247">
        <f t="shared" si="503"/>
        <v>44536982</v>
      </c>
      <c r="Y617" s="247">
        <f t="shared" si="501"/>
        <v>0</v>
      </c>
      <c r="Z617" s="247">
        <f t="shared" si="502"/>
        <v>0</v>
      </c>
      <c r="AA617" s="93"/>
    </row>
    <row r="618" spans="1:27">
      <c r="A618" s="97" t="s">
        <v>183</v>
      </c>
      <c r="B618" s="97" t="s">
        <v>184</v>
      </c>
      <c r="C618" s="98">
        <v>54612000</v>
      </c>
      <c r="D618" s="46">
        <v>0</v>
      </c>
      <c r="E618" s="46">
        <v>0</v>
      </c>
      <c r="F618" s="46">
        <f t="shared" si="506"/>
        <v>54612000</v>
      </c>
      <c r="G618" s="47">
        <v>13262368</v>
      </c>
      <c r="H618" s="47">
        <v>0</v>
      </c>
      <c r="I618" s="47">
        <v>0</v>
      </c>
      <c r="J618" s="47">
        <f t="shared" si="493"/>
        <v>13262368</v>
      </c>
      <c r="K618" s="47"/>
      <c r="L618" s="47"/>
      <c r="M618" s="47"/>
      <c r="N618" s="47">
        <f t="shared" si="496"/>
        <v>0</v>
      </c>
      <c r="O618" s="47">
        <f t="shared" si="466"/>
        <v>13262368</v>
      </c>
      <c r="P618" s="47">
        <f t="shared" si="467"/>
        <v>0</v>
      </c>
      <c r="Q618" s="47">
        <f t="shared" si="468"/>
        <v>0</v>
      </c>
      <c r="R618" s="47">
        <f t="shared" si="469"/>
        <v>13262368</v>
      </c>
      <c r="S618" s="79">
        <f t="shared" si="494"/>
        <v>24.284713982274958</v>
      </c>
      <c r="T618" s="79">
        <v>0</v>
      </c>
      <c r="U618" s="79">
        <v>0</v>
      </c>
      <c r="V618" s="79">
        <f t="shared" si="495"/>
        <v>24.284713982274958</v>
      </c>
      <c r="W618" s="47">
        <f t="shared" si="492"/>
        <v>41349632</v>
      </c>
      <c r="X618" s="247">
        <f t="shared" si="503"/>
        <v>13262368</v>
      </c>
      <c r="Y618" s="247">
        <f t="shared" si="501"/>
        <v>0</v>
      </c>
      <c r="Z618" s="247">
        <f t="shared" si="502"/>
        <v>0</v>
      </c>
      <c r="AA618" s="93"/>
    </row>
    <row r="619" spans="1:27" s="8" customFormat="1">
      <c r="A619" s="96" t="s">
        <v>185</v>
      </c>
      <c r="B619" s="96" t="s">
        <v>186</v>
      </c>
      <c r="C619" s="100">
        <f>SUM(C620:C620)</f>
        <v>293150400</v>
      </c>
      <c r="D619" s="100">
        <f>SUM(D620:D620)</f>
        <v>0</v>
      </c>
      <c r="E619" s="100">
        <f>SUM(E620:E620)</f>
        <v>0</v>
      </c>
      <c r="F619" s="100">
        <f t="shared" si="506"/>
        <v>293150400</v>
      </c>
      <c r="G619" s="100">
        <f t="shared" ref="G619:I619" si="517">SUM(G620:G620)</f>
        <v>143053932</v>
      </c>
      <c r="H619" s="100">
        <f t="shared" si="517"/>
        <v>0</v>
      </c>
      <c r="I619" s="100">
        <f t="shared" si="517"/>
        <v>0</v>
      </c>
      <c r="J619" s="100">
        <f t="shared" si="493"/>
        <v>143053932</v>
      </c>
      <c r="K619" s="100">
        <f t="shared" ref="K619:M619" si="518">SUM(K620:K620)</f>
        <v>0</v>
      </c>
      <c r="L619" s="100">
        <f t="shared" si="518"/>
        <v>0</v>
      </c>
      <c r="M619" s="100">
        <f t="shared" si="518"/>
        <v>0</v>
      </c>
      <c r="N619" s="100">
        <f t="shared" si="496"/>
        <v>0</v>
      </c>
      <c r="O619" s="100">
        <f t="shared" si="466"/>
        <v>143053932</v>
      </c>
      <c r="P619" s="100">
        <f t="shared" si="467"/>
        <v>0</v>
      </c>
      <c r="Q619" s="100">
        <f t="shared" si="468"/>
        <v>0</v>
      </c>
      <c r="R619" s="100">
        <f t="shared" si="469"/>
        <v>143053932</v>
      </c>
      <c r="S619" s="103">
        <f t="shared" si="494"/>
        <v>48.798818626889137</v>
      </c>
      <c r="T619" s="103">
        <v>0</v>
      </c>
      <c r="U619" s="103">
        <v>0</v>
      </c>
      <c r="V619" s="103">
        <f t="shared" si="495"/>
        <v>48.798818626889137</v>
      </c>
      <c r="W619" s="100">
        <f t="shared" si="492"/>
        <v>150096468</v>
      </c>
      <c r="X619" s="247">
        <f t="shared" si="503"/>
        <v>143053932</v>
      </c>
      <c r="Y619" s="247">
        <f t="shared" si="501"/>
        <v>0</v>
      </c>
      <c r="Z619" s="247">
        <f t="shared" si="502"/>
        <v>0</v>
      </c>
      <c r="AA619" s="93"/>
    </row>
    <row r="620" spans="1:27">
      <c r="A620" s="97" t="s">
        <v>189</v>
      </c>
      <c r="B620" s="97" t="s">
        <v>190</v>
      </c>
      <c r="C620" s="98">
        <v>293150400</v>
      </c>
      <c r="D620" s="46">
        <v>0</v>
      </c>
      <c r="E620" s="46">
        <v>0</v>
      </c>
      <c r="F620" s="46">
        <f t="shared" si="506"/>
        <v>293150400</v>
      </c>
      <c r="G620" s="47">
        <v>143053932</v>
      </c>
      <c r="H620" s="47">
        <v>0</v>
      </c>
      <c r="I620" s="47">
        <v>0</v>
      </c>
      <c r="J620" s="47">
        <f t="shared" si="493"/>
        <v>143053932</v>
      </c>
      <c r="K620" s="47"/>
      <c r="L620" s="47"/>
      <c r="M620" s="47"/>
      <c r="N620" s="47">
        <f t="shared" si="496"/>
        <v>0</v>
      </c>
      <c r="O620" s="47">
        <f t="shared" si="466"/>
        <v>143053932</v>
      </c>
      <c r="P620" s="47">
        <f t="shared" si="467"/>
        <v>0</v>
      </c>
      <c r="Q620" s="47">
        <f t="shared" si="468"/>
        <v>0</v>
      </c>
      <c r="R620" s="47">
        <f t="shared" si="469"/>
        <v>143053932</v>
      </c>
      <c r="S620" s="79">
        <f t="shared" si="494"/>
        <v>48.798818626889137</v>
      </c>
      <c r="T620" s="79">
        <v>0</v>
      </c>
      <c r="U620" s="79">
        <v>0</v>
      </c>
      <c r="V620" s="79">
        <f t="shared" si="495"/>
        <v>48.798818626889137</v>
      </c>
      <c r="W620" s="47">
        <f t="shared" si="492"/>
        <v>150096468</v>
      </c>
      <c r="X620" s="247">
        <f t="shared" si="503"/>
        <v>143053932</v>
      </c>
      <c r="Y620" s="247">
        <f t="shared" si="501"/>
        <v>0</v>
      </c>
      <c r="Z620" s="247">
        <f t="shared" si="502"/>
        <v>0</v>
      </c>
      <c r="AA620" s="93"/>
    </row>
    <row r="621" spans="1:27" s="8" customFormat="1">
      <c r="A621" s="96" t="s">
        <v>191</v>
      </c>
      <c r="B621" s="96" t="s">
        <v>192</v>
      </c>
      <c r="C621" s="60">
        <f>SUM(C622:C622)</f>
        <v>345678000</v>
      </c>
      <c r="D621" s="60">
        <f>SUM(D622:D622)</f>
        <v>0</v>
      </c>
      <c r="E621" s="60">
        <f>SUM(E622:E622)</f>
        <v>0</v>
      </c>
      <c r="F621" s="60">
        <f t="shared" si="506"/>
        <v>345678000</v>
      </c>
      <c r="G621" s="60">
        <f t="shared" ref="G621:I621" si="519">SUM(G622:G622)</f>
        <v>164700000</v>
      </c>
      <c r="H621" s="60">
        <f t="shared" si="519"/>
        <v>0</v>
      </c>
      <c r="I621" s="60">
        <f t="shared" si="519"/>
        <v>0</v>
      </c>
      <c r="J621" s="60">
        <f t="shared" si="493"/>
        <v>164700000</v>
      </c>
      <c r="K621" s="60">
        <f t="shared" ref="K621:M621" si="520">SUM(K622:K622)</f>
        <v>0</v>
      </c>
      <c r="L621" s="60">
        <f t="shared" si="520"/>
        <v>0</v>
      </c>
      <c r="M621" s="60">
        <f t="shared" si="520"/>
        <v>0</v>
      </c>
      <c r="N621" s="60">
        <f t="shared" si="496"/>
        <v>0</v>
      </c>
      <c r="O621" s="60">
        <f t="shared" si="466"/>
        <v>164700000</v>
      </c>
      <c r="P621" s="60">
        <f t="shared" si="467"/>
        <v>0</v>
      </c>
      <c r="Q621" s="60">
        <f t="shared" si="468"/>
        <v>0</v>
      </c>
      <c r="R621" s="60">
        <f t="shared" si="469"/>
        <v>164700000</v>
      </c>
      <c r="S621" s="84">
        <f t="shared" si="494"/>
        <v>47.645496676097409</v>
      </c>
      <c r="T621" s="84">
        <v>0</v>
      </c>
      <c r="U621" s="84">
        <v>0</v>
      </c>
      <c r="V621" s="84">
        <f t="shared" si="495"/>
        <v>47.645496676097409</v>
      </c>
      <c r="W621" s="60">
        <f t="shared" si="492"/>
        <v>180978000</v>
      </c>
      <c r="X621" s="247">
        <f t="shared" si="503"/>
        <v>164700000</v>
      </c>
      <c r="Y621" s="247">
        <f t="shared" si="501"/>
        <v>0</v>
      </c>
      <c r="Z621" s="247">
        <f t="shared" si="502"/>
        <v>0</v>
      </c>
      <c r="AA621" s="93"/>
    </row>
    <row r="622" spans="1:27" ht="18" customHeight="1">
      <c r="A622" s="97" t="s">
        <v>476</v>
      </c>
      <c r="B622" s="97" t="s">
        <v>346</v>
      </c>
      <c r="C622" s="98">
        <v>345678000</v>
      </c>
      <c r="D622" s="46">
        <v>0</v>
      </c>
      <c r="E622" s="46">
        <v>0</v>
      </c>
      <c r="F622" s="46">
        <f t="shared" si="506"/>
        <v>345678000</v>
      </c>
      <c r="G622" s="147">
        <v>164700000</v>
      </c>
      <c r="H622" s="47">
        <v>0</v>
      </c>
      <c r="I622" s="47">
        <v>0</v>
      </c>
      <c r="J622" s="47">
        <f t="shared" si="493"/>
        <v>164700000</v>
      </c>
      <c r="K622" s="47"/>
      <c r="L622" s="47"/>
      <c r="M622" s="47"/>
      <c r="N622" s="47">
        <f t="shared" si="496"/>
        <v>0</v>
      </c>
      <c r="O622" s="47">
        <f t="shared" si="466"/>
        <v>164700000</v>
      </c>
      <c r="P622" s="47">
        <f t="shared" si="467"/>
        <v>0</v>
      </c>
      <c r="Q622" s="47">
        <f t="shared" si="468"/>
        <v>0</v>
      </c>
      <c r="R622" s="47">
        <f t="shared" si="469"/>
        <v>164700000</v>
      </c>
      <c r="S622" s="79">
        <f t="shared" si="494"/>
        <v>47.645496676097409</v>
      </c>
      <c r="T622" s="79">
        <v>0</v>
      </c>
      <c r="U622" s="79">
        <v>0</v>
      </c>
      <c r="V622" s="79">
        <f t="shared" si="495"/>
        <v>47.645496676097409</v>
      </c>
      <c r="W622" s="47">
        <f t="shared" si="492"/>
        <v>180978000</v>
      </c>
      <c r="X622" s="247">
        <f t="shared" si="503"/>
        <v>164700000</v>
      </c>
      <c r="Y622" s="247">
        <f t="shared" si="501"/>
        <v>0</v>
      </c>
      <c r="Z622" s="247">
        <f t="shared" si="502"/>
        <v>0</v>
      </c>
      <c r="AA622" s="93"/>
    </row>
    <row r="623" spans="1:27" s="9" customFormat="1" ht="18" customHeight="1">
      <c r="A623" s="38" t="s">
        <v>199</v>
      </c>
      <c r="B623" s="61" t="s">
        <v>200</v>
      </c>
      <c r="C623" s="101">
        <f>C624+C631+C627</f>
        <v>3592549110</v>
      </c>
      <c r="D623" s="101">
        <f t="shared" ref="D623:L623" si="521">D624+D631+D627</f>
        <v>0</v>
      </c>
      <c r="E623" s="101">
        <f t="shared" si="521"/>
        <v>0</v>
      </c>
      <c r="F623" s="101">
        <f t="shared" si="506"/>
        <v>3592549110</v>
      </c>
      <c r="G623" s="101">
        <f t="shared" ref="G623:H623" si="522">G624+G631+G627</f>
        <v>228231057</v>
      </c>
      <c r="H623" s="101">
        <f t="shared" si="522"/>
        <v>0</v>
      </c>
      <c r="I623" s="101">
        <f>I624+I631+I627</f>
        <v>0</v>
      </c>
      <c r="J623" s="101">
        <f t="shared" si="493"/>
        <v>228231057</v>
      </c>
      <c r="K623" s="101">
        <f t="shared" si="521"/>
        <v>0</v>
      </c>
      <c r="L623" s="101">
        <f t="shared" si="521"/>
        <v>0</v>
      </c>
      <c r="M623" s="101">
        <f>M624+M631+M627</f>
        <v>0</v>
      </c>
      <c r="N623" s="101">
        <f t="shared" si="496"/>
        <v>0</v>
      </c>
      <c r="O623" s="101">
        <f t="shared" si="466"/>
        <v>228231057</v>
      </c>
      <c r="P623" s="101">
        <f t="shared" si="467"/>
        <v>0</v>
      </c>
      <c r="Q623" s="101">
        <f t="shared" si="468"/>
        <v>0</v>
      </c>
      <c r="R623" s="101">
        <f t="shared" si="469"/>
        <v>228231057</v>
      </c>
      <c r="S623" s="104">
        <f t="shared" si="494"/>
        <v>6.3529001277869801</v>
      </c>
      <c r="T623" s="104">
        <v>0</v>
      </c>
      <c r="U623" s="104">
        <v>0</v>
      </c>
      <c r="V623" s="104">
        <f t="shared" si="495"/>
        <v>6.3529001277869801</v>
      </c>
      <c r="W623" s="101">
        <f t="shared" si="492"/>
        <v>3364318053</v>
      </c>
      <c r="X623" s="247">
        <f t="shared" si="503"/>
        <v>228231057</v>
      </c>
      <c r="Y623" s="247">
        <f t="shared" si="501"/>
        <v>0</v>
      </c>
      <c r="Z623" s="247">
        <f t="shared" si="502"/>
        <v>0</v>
      </c>
      <c r="AA623" s="93"/>
    </row>
    <row r="624" spans="1:27" s="8" customFormat="1" ht="33">
      <c r="A624" s="96" t="s">
        <v>201</v>
      </c>
      <c r="B624" s="96" t="s">
        <v>202</v>
      </c>
      <c r="C624" s="60">
        <f>SUM(C625:C626)</f>
        <v>28042000</v>
      </c>
      <c r="D624" s="60">
        <f>SUM(D625:D626)</f>
        <v>0</v>
      </c>
      <c r="E624" s="60">
        <f>SUM(E625:E626)</f>
        <v>0</v>
      </c>
      <c r="F624" s="60">
        <f t="shared" si="506"/>
        <v>28042000</v>
      </c>
      <c r="G624" s="60">
        <f t="shared" ref="G624:H624" si="523">SUM(G625:G626)</f>
        <v>21034500</v>
      </c>
      <c r="H624" s="60">
        <f t="shared" si="523"/>
        <v>0</v>
      </c>
      <c r="I624" s="60">
        <f>SUM(I625:I626)</f>
        <v>0</v>
      </c>
      <c r="J624" s="60">
        <f t="shared" si="493"/>
        <v>21034500</v>
      </c>
      <c r="K624" s="60">
        <f t="shared" ref="K624:L624" si="524">SUM(K625:K626)</f>
        <v>0</v>
      </c>
      <c r="L624" s="60">
        <f t="shared" si="524"/>
        <v>0</v>
      </c>
      <c r="M624" s="60">
        <f>SUM(M625:M626)</f>
        <v>0</v>
      </c>
      <c r="N624" s="60">
        <f t="shared" si="496"/>
        <v>0</v>
      </c>
      <c r="O624" s="60">
        <f t="shared" si="466"/>
        <v>21034500</v>
      </c>
      <c r="P624" s="60">
        <f t="shared" si="467"/>
        <v>0</v>
      </c>
      <c r="Q624" s="60">
        <f t="shared" si="468"/>
        <v>0</v>
      </c>
      <c r="R624" s="60">
        <f t="shared" si="469"/>
        <v>21034500</v>
      </c>
      <c r="S624" s="84">
        <f t="shared" si="494"/>
        <v>75.010698238356753</v>
      </c>
      <c r="T624" s="84">
        <v>0</v>
      </c>
      <c r="U624" s="84">
        <v>0</v>
      </c>
      <c r="V624" s="84">
        <f t="shared" si="495"/>
        <v>75.010698238356753</v>
      </c>
      <c r="W624" s="60">
        <f t="shared" si="492"/>
        <v>7007500</v>
      </c>
      <c r="X624" s="247">
        <f t="shared" si="503"/>
        <v>21034500</v>
      </c>
      <c r="Y624" s="247">
        <f t="shared" si="501"/>
        <v>0</v>
      </c>
      <c r="Z624" s="247">
        <f t="shared" si="502"/>
        <v>0</v>
      </c>
      <c r="AA624" s="93"/>
    </row>
    <row r="625" spans="1:27">
      <c r="A625" s="97" t="s">
        <v>205</v>
      </c>
      <c r="B625" s="97" t="s">
        <v>206</v>
      </c>
      <c r="C625" s="98">
        <v>7000000</v>
      </c>
      <c r="D625" s="46">
        <v>0</v>
      </c>
      <c r="E625" s="46">
        <v>0</v>
      </c>
      <c r="F625" s="46">
        <f t="shared" si="506"/>
        <v>7000000</v>
      </c>
      <c r="G625" s="48"/>
      <c r="H625" s="47"/>
      <c r="I625" s="47"/>
      <c r="J625" s="47">
        <f t="shared" si="493"/>
        <v>0</v>
      </c>
      <c r="K625" s="47"/>
      <c r="L625" s="47"/>
      <c r="M625" s="47"/>
      <c r="N625" s="47">
        <f t="shared" si="496"/>
        <v>0</v>
      </c>
      <c r="O625" s="47">
        <f t="shared" si="466"/>
        <v>0</v>
      </c>
      <c r="P625" s="47">
        <f t="shared" si="467"/>
        <v>0</v>
      </c>
      <c r="Q625" s="47">
        <f t="shared" si="468"/>
        <v>0</v>
      </c>
      <c r="R625" s="47">
        <f t="shared" si="469"/>
        <v>0</v>
      </c>
      <c r="S625" s="79">
        <f t="shared" si="494"/>
        <v>0</v>
      </c>
      <c r="T625" s="79">
        <v>0</v>
      </c>
      <c r="U625" s="79">
        <v>0</v>
      </c>
      <c r="V625" s="79">
        <f t="shared" si="495"/>
        <v>0</v>
      </c>
      <c r="W625" s="47">
        <f t="shared" si="492"/>
        <v>7000000</v>
      </c>
      <c r="X625" s="247">
        <f t="shared" si="503"/>
        <v>0</v>
      </c>
      <c r="Y625" s="247">
        <f t="shared" si="501"/>
        <v>0</v>
      </c>
      <c r="Z625" s="247">
        <f t="shared" si="502"/>
        <v>0</v>
      </c>
      <c r="AA625" s="93"/>
    </row>
    <row r="626" spans="1:27" ht="19.5" customHeight="1">
      <c r="A626" s="97" t="s">
        <v>324</v>
      </c>
      <c r="B626" s="97" t="s">
        <v>325</v>
      </c>
      <c r="C626" s="98">
        <v>21042000</v>
      </c>
      <c r="D626" s="46">
        <v>0</v>
      </c>
      <c r="E626" s="46">
        <v>0</v>
      </c>
      <c r="F626" s="46">
        <f t="shared" si="506"/>
        <v>21042000</v>
      </c>
      <c r="G626" s="47">
        <v>21034500</v>
      </c>
      <c r="H626" s="47">
        <v>0</v>
      </c>
      <c r="I626" s="47">
        <v>0</v>
      </c>
      <c r="J626" s="47">
        <f t="shared" si="493"/>
        <v>21034500</v>
      </c>
      <c r="K626" s="47"/>
      <c r="L626" s="47"/>
      <c r="M626" s="47"/>
      <c r="N626" s="47">
        <f t="shared" si="496"/>
        <v>0</v>
      </c>
      <c r="O626" s="47">
        <f t="shared" si="466"/>
        <v>21034500</v>
      </c>
      <c r="P626" s="47">
        <f t="shared" si="467"/>
        <v>0</v>
      </c>
      <c r="Q626" s="47">
        <f t="shared" si="468"/>
        <v>0</v>
      </c>
      <c r="R626" s="47">
        <f t="shared" si="469"/>
        <v>21034500</v>
      </c>
      <c r="S626" s="79">
        <f t="shared" si="494"/>
        <v>99.964357000285148</v>
      </c>
      <c r="T626" s="79">
        <v>0</v>
      </c>
      <c r="U626" s="79">
        <v>0</v>
      </c>
      <c r="V626" s="79">
        <f t="shared" si="495"/>
        <v>99.964357000285148</v>
      </c>
      <c r="W626" s="47">
        <f t="shared" si="492"/>
        <v>7500</v>
      </c>
      <c r="X626" s="247">
        <f t="shared" si="503"/>
        <v>21034500</v>
      </c>
      <c r="Y626" s="247">
        <f t="shared" si="501"/>
        <v>0</v>
      </c>
      <c r="Z626" s="247">
        <f t="shared" si="502"/>
        <v>0</v>
      </c>
      <c r="AA626" s="93"/>
    </row>
    <row r="627" spans="1:27" s="8" customFormat="1">
      <c r="A627" s="96" t="s">
        <v>207</v>
      </c>
      <c r="B627" s="96" t="s">
        <v>208</v>
      </c>
      <c r="C627" s="100">
        <f>SUM(C628:C630)</f>
        <v>80565462</v>
      </c>
      <c r="D627" s="100">
        <f t="shared" ref="D627:L627" si="525">SUM(D628:D630)</f>
        <v>0</v>
      </c>
      <c r="E627" s="100">
        <f>SUM(E628:E630)</f>
        <v>0</v>
      </c>
      <c r="F627" s="100">
        <f t="shared" si="506"/>
        <v>80565462</v>
      </c>
      <c r="G627" s="100">
        <f t="shared" ref="G627:H627" si="526">SUM(G628:G630)</f>
        <v>80501180</v>
      </c>
      <c r="H627" s="100">
        <f t="shared" si="526"/>
        <v>0</v>
      </c>
      <c r="I627" s="100">
        <f>SUM(I628:I630)</f>
        <v>0</v>
      </c>
      <c r="J627" s="100">
        <f t="shared" si="493"/>
        <v>80501180</v>
      </c>
      <c r="K627" s="100">
        <f t="shared" si="525"/>
        <v>0</v>
      </c>
      <c r="L627" s="100">
        <f t="shared" si="525"/>
        <v>0</v>
      </c>
      <c r="M627" s="100">
        <f>SUM(M628:M630)</f>
        <v>0</v>
      </c>
      <c r="N627" s="100">
        <f t="shared" si="496"/>
        <v>0</v>
      </c>
      <c r="O627" s="100">
        <f t="shared" si="466"/>
        <v>80501180</v>
      </c>
      <c r="P627" s="100">
        <f t="shared" si="467"/>
        <v>0</v>
      </c>
      <c r="Q627" s="100">
        <f t="shared" si="468"/>
        <v>0</v>
      </c>
      <c r="R627" s="100">
        <f t="shared" si="469"/>
        <v>80501180</v>
      </c>
      <c r="S627" s="84">
        <f t="shared" si="494"/>
        <v>99.920211467291026</v>
      </c>
      <c r="T627" s="84">
        <v>0</v>
      </c>
      <c r="U627" s="84">
        <v>0</v>
      </c>
      <c r="V627" s="84">
        <f t="shared" si="495"/>
        <v>99.920211467291026</v>
      </c>
      <c r="W627" s="60">
        <f t="shared" si="492"/>
        <v>64282</v>
      </c>
      <c r="X627" s="247">
        <f t="shared" si="503"/>
        <v>80501180</v>
      </c>
      <c r="Y627" s="247">
        <f t="shared" si="501"/>
        <v>0</v>
      </c>
      <c r="Z627" s="247">
        <f t="shared" si="502"/>
        <v>0</v>
      </c>
      <c r="AA627" s="93"/>
    </row>
    <row r="628" spans="1:27">
      <c r="A628" s="97" t="s">
        <v>110</v>
      </c>
      <c r="B628" s="97" t="s">
        <v>391</v>
      </c>
      <c r="C628" s="98">
        <v>64262</v>
      </c>
      <c r="D628" s="46">
        <v>0</v>
      </c>
      <c r="E628" s="46">
        <v>0</v>
      </c>
      <c r="F628" s="46">
        <f t="shared" si="506"/>
        <v>64262</v>
      </c>
      <c r="G628" s="48"/>
      <c r="H628" s="47"/>
      <c r="I628" s="47"/>
      <c r="J628" s="47">
        <f t="shared" si="493"/>
        <v>0</v>
      </c>
      <c r="K628" s="47"/>
      <c r="L628" s="47"/>
      <c r="M628" s="47"/>
      <c r="N628" s="47">
        <f t="shared" si="496"/>
        <v>0</v>
      </c>
      <c r="O628" s="47">
        <f t="shared" si="466"/>
        <v>0</v>
      </c>
      <c r="P628" s="47">
        <f t="shared" si="467"/>
        <v>0</v>
      </c>
      <c r="Q628" s="47">
        <f t="shared" si="468"/>
        <v>0</v>
      </c>
      <c r="R628" s="47">
        <f t="shared" si="469"/>
        <v>0</v>
      </c>
      <c r="S628" s="79">
        <f t="shared" si="494"/>
        <v>0</v>
      </c>
      <c r="T628" s="79">
        <v>0</v>
      </c>
      <c r="U628" s="79">
        <v>0</v>
      </c>
      <c r="V628" s="79">
        <f t="shared" si="495"/>
        <v>0</v>
      </c>
      <c r="W628" s="47">
        <f t="shared" si="492"/>
        <v>64262</v>
      </c>
      <c r="X628" s="247">
        <f t="shared" si="503"/>
        <v>0</v>
      </c>
      <c r="Y628" s="247">
        <f t="shared" si="501"/>
        <v>0</v>
      </c>
      <c r="Z628" s="247">
        <f t="shared" si="502"/>
        <v>0</v>
      </c>
      <c r="AA628" s="93"/>
    </row>
    <row r="629" spans="1:27">
      <c r="A629" s="97" t="s">
        <v>326</v>
      </c>
      <c r="B629" s="97" t="s">
        <v>327</v>
      </c>
      <c r="C629" s="98">
        <v>501200</v>
      </c>
      <c r="D629" s="46"/>
      <c r="E629" s="46"/>
      <c r="F629" s="46">
        <f t="shared" si="506"/>
        <v>501200</v>
      </c>
      <c r="G629" s="48">
        <v>501200</v>
      </c>
      <c r="H629" s="47"/>
      <c r="I629" s="47"/>
      <c r="J629" s="47">
        <f t="shared" si="493"/>
        <v>501200</v>
      </c>
      <c r="K629" s="47"/>
      <c r="L629" s="47"/>
      <c r="M629" s="47"/>
      <c r="N629" s="47">
        <f t="shared" si="496"/>
        <v>0</v>
      </c>
      <c r="O629" s="47">
        <f t="shared" si="466"/>
        <v>501200</v>
      </c>
      <c r="P629" s="47">
        <f t="shared" si="467"/>
        <v>0</v>
      </c>
      <c r="Q629" s="47">
        <f t="shared" si="468"/>
        <v>0</v>
      </c>
      <c r="R629" s="47">
        <f t="shared" si="469"/>
        <v>501200</v>
      </c>
      <c r="S629" s="79">
        <f t="shared" si="494"/>
        <v>100</v>
      </c>
      <c r="T629" s="79">
        <v>0</v>
      </c>
      <c r="U629" s="79">
        <v>0</v>
      </c>
      <c r="V629" s="79">
        <f t="shared" si="495"/>
        <v>100</v>
      </c>
      <c r="W629" s="47">
        <f t="shared" si="492"/>
        <v>0</v>
      </c>
      <c r="X629" s="247">
        <f t="shared" si="503"/>
        <v>501200</v>
      </c>
      <c r="Y629" s="247">
        <f t="shared" si="501"/>
        <v>0</v>
      </c>
      <c r="Z629" s="247">
        <f t="shared" si="502"/>
        <v>0</v>
      </c>
      <c r="AA629" s="93"/>
    </row>
    <row r="630" spans="1:27" ht="33">
      <c r="A630" s="97" t="s">
        <v>408</v>
      </c>
      <c r="B630" s="97" t="s">
        <v>499</v>
      </c>
      <c r="C630" s="98">
        <v>80000000</v>
      </c>
      <c r="D630" s="46">
        <v>0</v>
      </c>
      <c r="E630" s="46"/>
      <c r="F630" s="46">
        <f t="shared" si="506"/>
        <v>80000000</v>
      </c>
      <c r="G630" s="47">
        <v>79999980</v>
      </c>
      <c r="H630" s="47"/>
      <c r="I630" s="47"/>
      <c r="J630" s="47">
        <f t="shared" si="493"/>
        <v>79999980</v>
      </c>
      <c r="K630" s="47"/>
      <c r="L630" s="47"/>
      <c r="M630" s="47"/>
      <c r="N630" s="47">
        <f t="shared" si="496"/>
        <v>0</v>
      </c>
      <c r="O630" s="47">
        <f t="shared" si="466"/>
        <v>79999980</v>
      </c>
      <c r="P630" s="47">
        <f t="shared" si="467"/>
        <v>0</v>
      </c>
      <c r="Q630" s="47">
        <f t="shared" si="468"/>
        <v>0</v>
      </c>
      <c r="R630" s="47">
        <f t="shared" si="469"/>
        <v>79999980</v>
      </c>
      <c r="S630" s="79">
        <f t="shared" si="494"/>
        <v>99.999974999999992</v>
      </c>
      <c r="T630" s="79">
        <v>0</v>
      </c>
      <c r="U630" s="79">
        <v>0</v>
      </c>
      <c r="V630" s="79">
        <f t="shared" si="495"/>
        <v>99.999974999999992</v>
      </c>
      <c r="W630" s="47">
        <f t="shared" si="492"/>
        <v>20</v>
      </c>
      <c r="X630" s="247">
        <f t="shared" si="503"/>
        <v>79999980</v>
      </c>
      <c r="Y630" s="247">
        <f t="shared" si="501"/>
        <v>0</v>
      </c>
      <c r="Z630" s="247">
        <f t="shared" si="502"/>
        <v>0</v>
      </c>
      <c r="AA630" s="93"/>
    </row>
    <row r="631" spans="1:27" s="8" customFormat="1">
      <c r="A631" s="96" t="s">
        <v>213</v>
      </c>
      <c r="B631" s="96" t="s">
        <v>214</v>
      </c>
      <c r="C631" s="100">
        <f>SUM(C632:C635)</f>
        <v>3483941648</v>
      </c>
      <c r="D631" s="100">
        <f t="shared" ref="D631:E631" si="527">SUM(D632:D632)</f>
        <v>0</v>
      </c>
      <c r="E631" s="100">
        <f t="shared" si="527"/>
        <v>0</v>
      </c>
      <c r="F631" s="100">
        <f t="shared" si="506"/>
        <v>3483941648</v>
      </c>
      <c r="G631" s="100">
        <f>SUM(G632:G635)</f>
        <v>126695377</v>
      </c>
      <c r="H631" s="100">
        <f t="shared" ref="H631:I631" si="528">SUM(H632:H635)</f>
        <v>0</v>
      </c>
      <c r="I631" s="100">
        <f t="shared" si="528"/>
        <v>0</v>
      </c>
      <c r="J631" s="100">
        <f t="shared" si="493"/>
        <v>126695377</v>
      </c>
      <c r="K631" s="100">
        <f>SUM(K632:K635)</f>
        <v>0</v>
      </c>
      <c r="L631" s="100">
        <f t="shared" ref="L631:M631" si="529">SUM(L632:L635)</f>
        <v>0</v>
      </c>
      <c r="M631" s="100">
        <f t="shared" si="529"/>
        <v>0</v>
      </c>
      <c r="N631" s="100">
        <f t="shared" si="496"/>
        <v>0</v>
      </c>
      <c r="O631" s="100">
        <f t="shared" si="466"/>
        <v>126695377</v>
      </c>
      <c r="P631" s="100">
        <f t="shared" si="467"/>
        <v>0</v>
      </c>
      <c r="Q631" s="100">
        <f t="shared" si="468"/>
        <v>0</v>
      </c>
      <c r="R631" s="100">
        <f t="shared" si="469"/>
        <v>126695377</v>
      </c>
      <c r="S631" s="103">
        <f t="shared" si="494"/>
        <v>3.6365527841929</v>
      </c>
      <c r="T631" s="103">
        <v>0</v>
      </c>
      <c r="U631" s="103">
        <v>0</v>
      </c>
      <c r="V631" s="103">
        <f t="shared" si="495"/>
        <v>3.6365527841929</v>
      </c>
      <c r="W631" s="100">
        <f t="shared" si="492"/>
        <v>3357246271</v>
      </c>
      <c r="X631" s="247">
        <f t="shared" si="503"/>
        <v>126695377</v>
      </c>
      <c r="Y631" s="247">
        <f t="shared" si="501"/>
        <v>0</v>
      </c>
      <c r="Z631" s="247">
        <f t="shared" si="502"/>
        <v>0</v>
      </c>
      <c r="AA631" s="93"/>
    </row>
    <row r="632" spans="1:27" ht="20.25" customHeight="1">
      <c r="A632" s="97" t="s">
        <v>110</v>
      </c>
      <c r="B632" s="97" t="s">
        <v>391</v>
      </c>
      <c r="C632" s="98">
        <v>26141</v>
      </c>
      <c r="D632" s="46">
        <v>0</v>
      </c>
      <c r="E632" s="46">
        <v>0</v>
      </c>
      <c r="F632" s="46">
        <f t="shared" si="506"/>
        <v>26141</v>
      </c>
      <c r="G632" s="47">
        <v>0</v>
      </c>
      <c r="H632" s="47">
        <v>0</v>
      </c>
      <c r="I632" s="47">
        <v>0</v>
      </c>
      <c r="J632" s="47">
        <f t="shared" si="493"/>
        <v>0</v>
      </c>
      <c r="K632" s="47"/>
      <c r="L632" s="47"/>
      <c r="M632" s="47"/>
      <c r="N632" s="47">
        <f t="shared" si="496"/>
        <v>0</v>
      </c>
      <c r="O632" s="47">
        <f t="shared" si="466"/>
        <v>0</v>
      </c>
      <c r="P632" s="47">
        <f t="shared" si="467"/>
        <v>0</v>
      </c>
      <c r="Q632" s="47">
        <f t="shared" si="468"/>
        <v>0</v>
      </c>
      <c r="R632" s="47">
        <f t="shared" si="469"/>
        <v>0</v>
      </c>
      <c r="S632" s="79">
        <f t="shared" si="494"/>
        <v>0</v>
      </c>
      <c r="T632" s="79">
        <v>0</v>
      </c>
      <c r="U632" s="79">
        <v>0</v>
      </c>
      <c r="V632" s="79">
        <f t="shared" si="495"/>
        <v>0</v>
      </c>
      <c r="W632" s="47">
        <f t="shared" si="492"/>
        <v>26141</v>
      </c>
      <c r="X632" s="247">
        <f t="shared" si="503"/>
        <v>0</v>
      </c>
      <c r="Y632" s="247">
        <f t="shared" si="501"/>
        <v>0</v>
      </c>
      <c r="Z632" s="247">
        <f t="shared" si="502"/>
        <v>0</v>
      </c>
      <c r="AA632" s="93"/>
    </row>
    <row r="633" spans="1:27" ht="20.25" customHeight="1">
      <c r="A633" s="97" t="s">
        <v>114</v>
      </c>
      <c r="B633" s="97" t="s">
        <v>364</v>
      </c>
      <c r="C633" s="98">
        <v>2788275</v>
      </c>
      <c r="D633" s="46">
        <v>0</v>
      </c>
      <c r="E633" s="46">
        <v>0</v>
      </c>
      <c r="F633" s="46">
        <f t="shared" si="506"/>
        <v>2788275</v>
      </c>
      <c r="G633" s="47">
        <v>0</v>
      </c>
      <c r="H633" s="47">
        <v>0</v>
      </c>
      <c r="I633" s="47">
        <v>0</v>
      </c>
      <c r="J633" s="47">
        <f t="shared" si="493"/>
        <v>0</v>
      </c>
      <c r="K633" s="47"/>
      <c r="L633" s="47"/>
      <c r="M633" s="47"/>
      <c r="N633" s="47">
        <f t="shared" si="496"/>
        <v>0</v>
      </c>
      <c r="O633" s="47">
        <f t="shared" si="466"/>
        <v>0</v>
      </c>
      <c r="P633" s="47">
        <f t="shared" si="467"/>
        <v>0</v>
      </c>
      <c r="Q633" s="47">
        <f t="shared" si="468"/>
        <v>0</v>
      </c>
      <c r="R633" s="47">
        <f t="shared" si="469"/>
        <v>0</v>
      </c>
      <c r="S633" s="79">
        <f t="shared" si="494"/>
        <v>0</v>
      </c>
      <c r="T633" s="79">
        <v>0</v>
      </c>
      <c r="U633" s="79">
        <v>0</v>
      </c>
      <c r="V633" s="79">
        <f t="shared" si="495"/>
        <v>0</v>
      </c>
      <c r="W633" s="47">
        <f t="shared" si="492"/>
        <v>2788275</v>
      </c>
      <c r="X633" s="247">
        <f t="shared" si="503"/>
        <v>0</v>
      </c>
      <c r="Y633" s="247">
        <f t="shared" si="501"/>
        <v>0</v>
      </c>
      <c r="Z633" s="247">
        <f t="shared" si="502"/>
        <v>0</v>
      </c>
      <c r="AA633" s="93"/>
    </row>
    <row r="634" spans="1:27" ht="20.25" customHeight="1">
      <c r="A634" s="97" t="s">
        <v>215</v>
      </c>
      <c r="B634" s="97" t="s">
        <v>216</v>
      </c>
      <c r="C634" s="98">
        <v>29250000</v>
      </c>
      <c r="D634" s="46">
        <v>0</v>
      </c>
      <c r="E634" s="46">
        <v>0</v>
      </c>
      <c r="F634" s="46">
        <f t="shared" si="506"/>
        <v>29250000</v>
      </c>
      <c r="G634" s="47">
        <v>15395377</v>
      </c>
      <c r="H634" s="47">
        <v>0</v>
      </c>
      <c r="I634" s="47">
        <v>0</v>
      </c>
      <c r="J634" s="47">
        <f t="shared" si="493"/>
        <v>15395377</v>
      </c>
      <c r="K634" s="47"/>
      <c r="L634" s="47"/>
      <c r="M634" s="47"/>
      <c r="N634" s="47">
        <f t="shared" si="496"/>
        <v>0</v>
      </c>
      <c r="O634" s="47">
        <f t="shared" si="466"/>
        <v>15395377</v>
      </c>
      <c r="P634" s="47">
        <f t="shared" si="467"/>
        <v>0</v>
      </c>
      <c r="Q634" s="47">
        <f t="shared" si="468"/>
        <v>0</v>
      </c>
      <c r="R634" s="47">
        <f t="shared" si="469"/>
        <v>15395377</v>
      </c>
      <c r="S634" s="79">
        <f t="shared" si="494"/>
        <v>52.633767521367524</v>
      </c>
      <c r="T634" s="79">
        <v>0</v>
      </c>
      <c r="U634" s="79">
        <v>0</v>
      </c>
      <c r="V634" s="79">
        <f t="shared" si="495"/>
        <v>52.633767521367524</v>
      </c>
      <c r="W634" s="47">
        <f t="shared" si="492"/>
        <v>13854623</v>
      </c>
      <c r="X634" s="247">
        <f t="shared" si="503"/>
        <v>15395377</v>
      </c>
      <c r="Y634" s="247">
        <f t="shared" si="501"/>
        <v>0</v>
      </c>
      <c r="Z634" s="247">
        <f t="shared" si="502"/>
        <v>0</v>
      </c>
      <c r="AA634" s="93"/>
    </row>
    <row r="635" spans="1:27" ht="20.25" customHeight="1">
      <c r="A635" s="97" t="s">
        <v>500</v>
      </c>
      <c r="B635" s="97" t="s">
        <v>501</v>
      </c>
      <c r="C635" s="98">
        <v>3451877232</v>
      </c>
      <c r="D635" s="46">
        <v>0</v>
      </c>
      <c r="E635" s="46">
        <v>0</v>
      </c>
      <c r="F635" s="46">
        <f t="shared" si="506"/>
        <v>3451877232</v>
      </c>
      <c r="G635" s="47">
        <v>111300000</v>
      </c>
      <c r="H635" s="47">
        <v>0</v>
      </c>
      <c r="I635" s="47">
        <v>0</v>
      </c>
      <c r="J635" s="47">
        <f t="shared" si="493"/>
        <v>111300000</v>
      </c>
      <c r="K635" s="47"/>
      <c r="L635" s="47"/>
      <c r="M635" s="47"/>
      <c r="N635" s="47">
        <f t="shared" si="496"/>
        <v>0</v>
      </c>
      <c r="O635" s="47">
        <f t="shared" ref="O635:O663" si="530">K635+G635</f>
        <v>111300000</v>
      </c>
      <c r="P635" s="47">
        <f t="shared" ref="P635:P663" si="531">L635+H635</f>
        <v>0</v>
      </c>
      <c r="Q635" s="47">
        <f t="shared" ref="Q635:Q663" si="532">M635+I635</f>
        <v>0</v>
      </c>
      <c r="R635" s="47">
        <f t="shared" ref="R635:R663" si="533">SUM(O635:Q635)</f>
        <v>111300000</v>
      </c>
      <c r="S635" s="79">
        <f t="shared" si="494"/>
        <v>3.2243325158905884</v>
      </c>
      <c r="T635" s="79">
        <v>0</v>
      </c>
      <c r="U635" s="79">
        <v>0</v>
      </c>
      <c r="V635" s="79">
        <f t="shared" si="495"/>
        <v>3.2243325158905884</v>
      </c>
      <c r="W635" s="47">
        <f t="shared" si="492"/>
        <v>3340577232</v>
      </c>
      <c r="X635" s="247">
        <f t="shared" si="503"/>
        <v>111300000</v>
      </c>
      <c r="Y635" s="247">
        <f t="shared" si="501"/>
        <v>0</v>
      </c>
      <c r="Z635" s="247">
        <f t="shared" si="502"/>
        <v>0</v>
      </c>
      <c r="AA635" s="93"/>
    </row>
    <row r="636" spans="1:27" s="11" customFormat="1" ht="18">
      <c r="A636" s="35" t="s">
        <v>232</v>
      </c>
      <c r="B636" s="111" t="s">
        <v>233</v>
      </c>
      <c r="C636" s="117">
        <f t="shared" ref="C636:M637" si="534">C637</f>
        <v>4052760000</v>
      </c>
      <c r="D636" s="117">
        <f t="shared" si="534"/>
        <v>0</v>
      </c>
      <c r="E636" s="117">
        <f t="shared" si="534"/>
        <v>0</v>
      </c>
      <c r="F636" s="117">
        <f t="shared" si="506"/>
        <v>4052760000</v>
      </c>
      <c r="G636" s="117">
        <f t="shared" ref="G636:I637" si="535">G637</f>
        <v>3161664972.2600002</v>
      </c>
      <c r="H636" s="117">
        <f t="shared" si="535"/>
        <v>0</v>
      </c>
      <c r="I636" s="117">
        <f t="shared" si="535"/>
        <v>0</v>
      </c>
      <c r="J636" s="117">
        <f t="shared" si="493"/>
        <v>3161664972.2600002</v>
      </c>
      <c r="K636" s="117">
        <f t="shared" si="534"/>
        <v>0</v>
      </c>
      <c r="L636" s="117">
        <f t="shared" si="534"/>
        <v>0</v>
      </c>
      <c r="M636" s="117">
        <f t="shared" si="534"/>
        <v>0</v>
      </c>
      <c r="N636" s="117">
        <f t="shared" si="496"/>
        <v>0</v>
      </c>
      <c r="O636" s="117">
        <f t="shared" si="530"/>
        <v>3161664972.2600002</v>
      </c>
      <c r="P636" s="117">
        <f t="shared" si="531"/>
        <v>0</v>
      </c>
      <c r="Q636" s="117">
        <f t="shared" si="532"/>
        <v>0</v>
      </c>
      <c r="R636" s="117">
        <f t="shared" si="533"/>
        <v>3161664972.2600002</v>
      </c>
      <c r="S636" s="128">
        <f t="shared" si="494"/>
        <v>78.01263761634047</v>
      </c>
      <c r="T636" s="128">
        <v>0</v>
      </c>
      <c r="U636" s="128">
        <v>0</v>
      </c>
      <c r="V636" s="128">
        <f t="shared" si="495"/>
        <v>78.01263761634047</v>
      </c>
      <c r="W636" s="117">
        <f t="shared" si="492"/>
        <v>891095027.73999977</v>
      </c>
      <c r="X636" s="247">
        <f t="shared" si="503"/>
        <v>3161664972.2600002</v>
      </c>
      <c r="Y636" s="247">
        <f t="shared" si="501"/>
        <v>0</v>
      </c>
      <c r="Z636" s="247">
        <f t="shared" si="502"/>
        <v>0</v>
      </c>
      <c r="AA636" s="93"/>
    </row>
    <row r="637" spans="1:27" s="12" customFormat="1" ht="18.75" customHeight="1">
      <c r="A637" s="38" t="s">
        <v>309</v>
      </c>
      <c r="B637" s="39" t="s">
        <v>310</v>
      </c>
      <c r="C637" s="118">
        <f t="shared" si="534"/>
        <v>4052760000</v>
      </c>
      <c r="D637" s="118">
        <f t="shared" si="534"/>
        <v>0</v>
      </c>
      <c r="E637" s="118">
        <f t="shared" si="534"/>
        <v>0</v>
      </c>
      <c r="F637" s="118">
        <f t="shared" si="506"/>
        <v>4052760000</v>
      </c>
      <c r="G637" s="118">
        <f t="shared" si="535"/>
        <v>3161664972.2600002</v>
      </c>
      <c r="H637" s="118">
        <f t="shared" si="535"/>
        <v>0</v>
      </c>
      <c r="I637" s="118">
        <f t="shared" si="535"/>
        <v>0</v>
      </c>
      <c r="J637" s="118">
        <f t="shared" si="493"/>
        <v>3161664972.2600002</v>
      </c>
      <c r="K637" s="118">
        <f t="shared" si="534"/>
        <v>0</v>
      </c>
      <c r="L637" s="118">
        <f t="shared" si="534"/>
        <v>0</v>
      </c>
      <c r="M637" s="118">
        <f t="shared" si="534"/>
        <v>0</v>
      </c>
      <c r="N637" s="118">
        <f t="shared" si="496"/>
        <v>0</v>
      </c>
      <c r="O637" s="118">
        <f t="shared" si="530"/>
        <v>3161664972.2600002</v>
      </c>
      <c r="P637" s="118">
        <f t="shared" si="531"/>
        <v>0</v>
      </c>
      <c r="Q637" s="118">
        <f t="shared" si="532"/>
        <v>0</v>
      </c>
      <c r="R637" s="118">
        <f t="shared" si="533"/>
        <v>3161664972.2600002</v>
      </c>
      <c r="S637" s="129">
        <f t="shared" si="494"/>
        <v>78.01263761634047</v>
      </c>
      <c r="T637" s="129">
        <v>0</v>
      </c>
      <c r="U637" s="129">
        <v>0</v>
      </c>
      <c r="V637" s="129">
        <f t="shared" si="495"/>
        <v>78.01263761634047</v>
      </c>
      <c r="W637" s="118">
        <f t="shared" si="492"/>
        <v>891095027.73999977</v>
      </c>
      <c r="X637" s="247">
        <f t="shared" si="503"/>
        <v>3161664972.2600002</v>
      </c>
      <c r="Y637" s="247">
        <f t="shared" si="501"/>
        <v>0</v>
      </c>
      <c r="Z637" s="247">
        <f t="shared" si="502"/>
        <v>0</v>
      </c>
      <c r="AA637" s="93"/>
    </row>
    <row r="638" spans="1:27" s="5" customFormat="1">
      <c r="A638" s="59" t="s">
        <v>481</v>
      </c>
      <c r="B638" s="59" t="s">
        <v>482</v>
      </c>
      <c r="C638" s="110">
        <f>SUM(C639:C663)</f>
        <v>4052760000</v>
      </c>
      <c r="D638" s="110">
        <f>SUM(D639:D660)</f>
        <v>0</v>
      </c>
      <c r="E638" s="110">
        <f>SUM(E639:E660)</f>
        <v>0</v>
      </c>
      <c r="F638" s="110">
        <f t="shared" si="506"/>
        <v>4052760000</v>
      </c>
      <c r="G638" s="110">
        <f>SUM(G639:G663)</f>
        <v>3161664972.2600002</v>
      </c>
      <c r="H638" s="110">
        <f t="shared" ref="H638:I638" si="536">SUM(H639:H663)</f>
        <v>0</v>
      </c>
      <c r="I638" s="110">
        <f t="shared" si="536"/>
        <v>0</v>
      </c>
      <c r="J638" s="110">
        <f t="shared" si="493"/>
        <v>3161664972.2600002</v>
      </c>
      <c r="K638" s="110">
        <f>SUM(K639:K663)</f>
        <v>0</v>
      </c>
      <c r="L638" s="110">
        <f t="shared" ref="L638:M638" si="537">SUM(L639:L660)</f>
        <v>0</v>
      </c>
      <c r="M638" s="110">
        <f t="shared" si="537"/>
        <v>0</v>
      </c>
      <c r="N638" s="110">
        <f t="shared" si="496"/>
        <v>0</v>
      </c>
      <c r="O638" s="110">
        <f t="shared" si="530"/>
        <v>3161664972.2600002</v>
      </c>
      <c r="P638" s="110">
        <f t="shared" si="531"/>
        <v>0</v>
      </c>
      <c r="Q638" s="110">
        <f t="shared" si="532"/>
        <v>0</v>
      </c>
      <c r="R638" s="110">
        <f t="shared" si="533"/>
        <v>3161664972.2600002</v>
      </c>
      <c r="S638" s="114">
        <f t="shared" si="494"/>
        <v>78.01263761634047</v>
      </c>
      <c r="T638" s="114">
        <v>0</v>
      </c>
      <c r="U638" s="114">
        <v>0</v>
      </c>
      <c r="V638" s="114">
        <f t="shared" si="495"/>
        <v>78.01263761634047</v>
      </c>
      <c r="W638" s="110">
        <f t="shared" si="492"/>
        <v>891095027.73999977</v>
      </c>
      <c r="X638" s="247">
        <f t="shared" si="503"/>
        <v>3161664972.2600002</v>
      </c>
      <c r="Y638" s="247">
        <f t="shared" si="501"/>
        <v>0</v>
      </c>
      <c r="Z638" s="247">
        <f t="shared" si="502"/>
        <v>0</v>
      </c>
      <c r="AA638" s="93"/>
    </row>
    <row r="639" spans="1:27">
      <c r="A639" s="44" t="s">
        <v>385</v>
      </c>
      <c r="B639" s="45" t="s">
        <v>386</v>
      </c>
      <c r="C639" s="46">
        <v>50518100</v>
      </c>
      <c r="D639" s="46">
        <v>0</v>
      </c>
      <c r="E639" s="46">
        <v>0</v>
      </c>
      <c r="F639" s="46">
        <f t="shared" si="506"/>
        <v>50518100</v>
      </c>
      <c r="G639" s="48">
        <v>50470500</v>
      </c>
      <c r="H639" s="47">
        <v>0</v>
      </c>
      <c r="I639" s="47">
        <v>0</v>
      </c>
      <c r="J639" s="47">
        <f t="shared" si="493"/>
        <v>50470500</v>
      </c>
      <c r="K639" s="47"/>
      <c r="L639" s="47"/>
      <c r="M639" s="47"/>
      <c r="N639" s="47">
        <f t="shared" si="496"/>
        <v>0</v>
      </c>
      <c r="O639" s="47">
        <f>K639+G639</f>
        <v>50470500</v>
      </c>
      <c r="P639" s="47">
        <f t="shared" si="531"/>
        <v>0</v>
      </c>
      <c r="Q639" s="47">
        <f t="shared" si="532"/>
        <v>0</v>
      </c>
      <c r="R639" s="47">
        <f t="shared" si="533"/>
        <v>50470500</v>
      </c>
      <c r="S639" s="79">
        <f t="shared" si="494"/>
        <v>99.905776345507846</v>
      </c>
      <c r="T639" s="79">
        <v>0</v>
      </c>
      <c r="U639" s="79">
        <v>0</v>
      </c>
      <c r="V639" s="79">
        <f t="shared" si="495"/>
        <v>99.905776345507846</v>
      </c>
      <c r="W639" s="47">
        <f t="shared" si="492"/>
        <v>47600</v>
      </c>
      <c r="X639" s="247">
        <f t="shared" si="503"/>
        <v>50470500</v>
      </c>
      <c r="Y639" s="247">
        <f t="shared" si="501"/>
        <v>0</v>
      </c>
      <c r="Z639" s="247">
        <f t="shared" si="502"/>
        <v>0</v>
      </c>
      <c r="AA639" s="93"/>
    </row>
    <row r="640" spans="1:27">
      <c r="A640" s="44" t="s">
        <v>387</v>
      </c>
      <c r="B640" s="45" t="s">
        <v>292</v>
      </c>
      <c r="C640" s="46">
        <v>600059973</v>
      </c>
      <c r="D640" s="46">
        <v>0</v>
      </c>
      <c r="E640" s="46">
        <v>0</v>
      </c>
      <c r="F640" s="46">
        <f t="shared" si="506"/>
        <v>600059973</v>
      </c>
      <c r="G640" s="48">
        <v>594100700</v>
      </c>
      <c r="H640" s="47">
        <v>0</v>
      </c>
      <c r="I640" s="47">
        <v>0</v>
      </c>
      <c r="J640" s="47">
        <f t="shared" si="493"/>
        <v>594100700</v>
      </c>
      <c r="K640" s="47"/>
      <c r="L640" s="47"/>
      <c r="M640" s="47"/>
      <c r="N640" s="47">
        <f t="shared" si="496"/>
        <v>0</v>
      </c>
      <c r="O640" s="47">
        <f t="shared" si="530"/>
        <v>594100700</v>
      </c>
      <c r="P640" s="47">
        <f t="shared" si="531"/>
        <v>0</v>
      </c>
      <c r="Q640" s="47">
        <f t="shared" si="532"/>
        <v>0</v>
      </c>
      <c r="R640" s="47">
        <f t="shared" si="533"/>
        <v>594100700</v>
      </c>
      <c r="S640" s="79">
        <f t="shared" si="494"/>
        <v>99.006887099933266</v>
      </c>
      <c r="T640" s="79">
        <v>0</v>
      </c>
      <c r="U640" s="79">
        <v>0</v>
      </c>
      <c r="V640" s="79">
        <f t="shared" si="495"/>
        <v>99.006887099933266</v>
      </c>
      <c r="W640" s="47">
        <f t="shared" si="492"/>
        <v>5959273</v>
      </c>
      <c r="X640" s="247">
        <f t="shared" si="503"/>
        <v>594100700</v>
      </c>
      <c r="Y640" s="247">
        <f t="shared" si="501"/>
        <v>0</v>
      </c>
      <c r="Z640" s="247">
        <f t="shared" si="502"/>
        <v>0</v>
      </c>
      <c r="AA640" s="93"/>
    </row>
    <row r="641" spans="1:27">
      <c r="A641" s="44" t="s">
        <v>203</v>
      </c>
      <c r="B641" s="45" t="s">
        <v>204</v>
      </c>
      <c r="C641" s="46">
        <v>35802000</v>
      </c>
      <c r="D641" s="46">
        <v>0</v>
      </c>
      <c r="E641" s="46">
        <v>0</v>
      </c>
      <c r="F641" s="46">
        <f t="shared" si="506"/>
        <v>35802000</v>
      </c>
      <c r="G641" s="48">
        <v>23704000</v>
      </c>
      <c r="H641" s="47">
        <v>0</v>
      </c>
      <c r="I641" s="47">
        <v>0</v>
      </c>
      <c r="J641" s="47">
        <f t="shared" si="493"/>
        <v>23704000</v>
      </c>
      <c r="K641" s="47"/>
      <c r="L641" s="47"/>
      <c r="M641" s="47"/>
      <c r="N641" s="47">
        <f t="shared" si="496"/>
        <v>0</v>
      </c>
      <c r="O641" s="47">
        <f t="shared" si="530"/>
        <v>23704000</v>
      </c>
      <c r="P641" s="47">
        <f t="shared" si="531"/>
        <v>0</v>
      </c>
      <c r="Q641" s="47">
        <f t="shared" si="532"/>
        <v>0</v>
      </c>
      <c r="R641" s="47">
        <f t="shared" si="533"/>
        <v>23704000</v>
      </c>
      <c r="S641" s="79">
        <f t="shared" si="494"/>
        <v>66.208591698787771</v>
      </c>
      <c r="T641" s="79">
        <v>0</v>
      </c>
      <c r="U641" s="79">
        <v>0</v>
      </c>
      <c r="V641" s="79">
        <f t="shared" si="495"/>
        <v>66.208591698787771</v>
      </c>
      <c r="W641" s="47">
        <f t="shared" si="492"/>
        <v>12098000</v>
      </c>
      <c r="X641" s="247">
        <f t="shared" si="503"/>
        <v>23704000</v>
      </c>
      <c r="Y641" s="247">
        <f t="shared" si="501"/>
        <v>0</v>
      </c>
      <c r="Z641" s="247">
        <f t="shared" si="502"/>
        <v>0</v>
      </c>
      <c r="AA641" s="93"/>
    </row>
    <row r="642" spans="1:27">
      <c r="A642" s="44" t="s">
        <v>328</v>
      </c>
      <c r="B642" s="45" t="s">
        <v>329</v>
      </c>
      <c r="C642" s="46">
        <v>336626250</v>
      </c>
      <c r="D642" s="46">
        <v>0</v>
      </c>
      <c r="E642" s="46">
        <v>0</v>
      </c>
      <c r="F642" s="46">
        <f t="shared" si="506"/>
        <v>336626250</v>
      </c>
      <c r="G642" s="47">
        <v>324203250</v>
      </c>
      <c r="H642" s="47">
        <v>0</v>
      </c>
      <c r="I642" s="47">
        <v>0</v>
      </c>
      <c r="J642" s="47">
        <f t="shared" si="493"/>
        <v>324203250</v>
      </c>
      <c r="K642" s="47"/>
      <c r="L642" s="47"/>
      <c r="M642" s="47"/>
      <c r="N642" s="47">
        <f t="shared" si="496"/>
        <v>0</v>
      </c>
      <c r="O642" s="47">
        <f t="shared" si="530"/>
        <v>324203250</v>
      </c>
      <c r="P642" s="47">
        <f t="shared" si="531"/>
        <v>0</v>
      </c>
      <c r="Q642" s="47">
        <f t="shared" si="532"/>
        <v>0</v>
      </c>
      <c r="R642" s="47">
        <f t="shared" si="533"/>
        <v>324203250</v>
      </c>
      <c r="S642" s="79">
        <f t="shared" si="494"/>
        <v>96.309556964140498</v>
      </c>
      <c r="T642" s="79">
        <v>0</v>
      </c>
      <c r="U642" s="79">
        <v>0</v>
      </c>
      <c r="V642" s="79">
        <f t="shared" si="495"/>
        <v>96.309556964140498</v>
      </c>
      <c r="W642" s="47">
        <f t="shared" si="492"/>
        <v>12423000</v>
      </c>
      <c r="X642" s="247">
        <f t="shared" si="503"/>
        <v>324203250</v>
      </c>
      <c r="Y642" s="247">
        <f t="shared" si="501"/>
        <v>0</v>
      </c>
      <c r="Z642" s="247">
        <f t="shared" si="502"/>
        <v>0</v>
      </c>
      <c r="AA642" s="93"/>
    </row>
    <row r="643" spans="1:27">
      <c r="A643" s="44" t="s">
        <v>320</v>
      </c>
      <c r="B643" s="45" t="s">
        <v>321</v>
      </c>
      <c r="C643" s="46">
        <v>438797000</v>
      </c>
      <c r="D643" s="46">
        <v>0</v>
      </c>
      <c r="E643" s="46">
        <v>0</v>
      </c>
      <c r="F643" s="46">
        <f t="shared" si="506"/>
        <v>438797000</v>
      </c>
      <c r="G643" s="48">
        <v>388297000</v>
      </c>
      <c r="H643" s="47">
        <v>0</v>
      </c>
      <c r="I643" s="47">
        <v>0</v>
      </c>
      <c r="J643" s="47">
        <f t="shared" si="493"/>
        <v>388297000</v>
      </c>
      <c r="K643" s="47"/>
      <c r="L643" s="47"/>
      <c r="M643" s="47"/>
      <c r="N643" s="47">
        <f t="shared" si="496"/>
        <v>0</v>
      </c>
      <c r="O643" s="47">
        <f t="shared" si="530"/>
        <v>388297000</v>
      </c>
      <c r="P643" s="47">
        <f t="shared" si="531"/>
        <v>0</v>
      </c>
      <c r="Q643" s="47">
        <f t="shared" si="532"/>
        <v>0</v>
      </c>
      <c r="R643" s="47">
        <f t="shared" si="533"/>
        <v>388297000</v>
      </c>
      <c r="S643" s="79">
        <f t="shared" si="494"/>
        <v>88.491261334968101</v>
      </c>
      <c r="T643" s="79">
        <v>0</v>
      </c>
      <c r="U643" s="79">
        <v>0</v>
      </c>
      <c r="V643" s="79">
        <f t="shared" si="495"/>
        <v>88.491261334968101</v>
      </c>
      <c r="W643" s="47">
        <f t="shared" si="492"/>
        <v>50500000</v>
      </c>
      <c r="X643" s="247">
        <f t="shared" si="503"/>
        <v>388297000</v>
      </c>
      <c r="Y643" s="247">
        <f t="shared" si="501"/>
        <v>0</v>
      </c>
      <c r="Z643" s="247">
        <f t="shared" si="502"/>
        <v>0</v>
      </c>
      <c r="AA643" s="93"/>
    </row>
    <row r="644" spans="1:27">
      <c r="A644" s="44" t="s">
        <v>389</v>
      </c>
      <c r="B644" s="45" t="s">
        <v>390</v>
      </c>
      <c r="C644" s="46">
        <v>8550000</v>
      </c>
      <c r="D644" s="46">
        <v>0</v>
      </c>
      <c r="E644" s="46">
        <v>0</v>
      </c>
      <c r="F644" s="46">
        <f t="shared" si="506"/>
        <v>8550000</v>
      </c>
      <c r="G644" s="48">
        <v>8547000</v>
      </c>
      <c r="H644" s="47">
        <v>0</v>
      </c>
      <c r="I644" s="47">
        <v>0</v>
      </c>
      <c r="J644" s="47">
        <f t="shared" si="493"/>
        <v>8547000</v>
      </c>
      <c r="K644" s="47"/>
      <c r="L644" s="47"/>
      <c r="M644" s="47"/>
      <c r="N644" s="47">
        <f t="shared" si="496"/>
        <v>0</v>
      </c>
      <c r="O644" s="47">
        <f t="shared" si="530"/>
        <v>8547000</v>
      </c>
      <c r="P644" s="47">
        <f t="shared" si="531"/>
        <v>0</v>
      </c>
      <c r="Q644" s="47">
        <f t="shared" si="532"/>
        <v>0</v>
      </c>
      <c r="R644" s="47">
        <f t="shared" si="533"/>
        <v>8547000</v>
      </c>
      <c r="S644" s="79">
        <f t="shared" si="494"/>
        <v>99.964912280701753</v>
      </c>
      <c r="T644" s="79">
        <v>0</v>
      </c>
      <c r="U644" s="79">
        <v>0</v>
      </c>
      <c r="V644" s="79">
        <f t="shared" si="495"/>
        <v>99.964912280701753</v>
      </c>
      <c r="W644" s="47">
        <f t="shared" si="492"/>
        <v>3000</v>
      </c>
      <c r="X644" s="247">
        <f t="shared" si="503"/>
        <v>8547000</v>
      </c>
      <c r="Y644" s="247">
        <f t="shared" si="501"/>
        <v>0</v>
      </c>
      <c r="Z644" s="247">
        <f t="shared" si="502"/>
        <v>0</v>
      </c>
      <c r="AA644" s="93"/>
    </row>
    <row r="645" spans="1:27">
      <c r="A645" s="44" t="s">
        <v>123</v>
      </c>
      <c r="B645" s="45" t="s">
        <v>111</v>
      </c>
      <c r="C645" s="46">
        <v>2000030</v>
      </c>
      <c r="D645" s="46">
        <v>0</v>
      </c>
      <c r="E645" s="46">
        <v>0</v>
      </c>
      <c r="F645" s="46">
        <f t="shared" si="506"/>
        <v>2000030</v>
      </c>
      <c r="G645" s="47">
        <v>1998875</v>
      </c>
      <c r="H645" s="47">
        <v>0</v>
      </c>
      <c r="I645" s="47">
        <v>0</v>
      </c>
      <c r="J645" s="47">
        <f t="shared" si="493"/>
        <v>1998875</v>
      </c>
      <c r="K645" s="47"/>
      <c r="L645" s="47"/>
      <c r="M645" s="47"/>
      <c r="N645" s="47">
        <f t="shared" si="496"/>
        <v>0</v>
      </c>
      <c r="O645" s="47">
        <f t="shared" si="530"/>
        <v>1998875</v>
      </c>
      <c r="P645" s="47">
        <f t="shared" si="531"/>
        <v>0</v>
      </c>
      <c r="Q645" s="47">
        <f t="shared" si="532"/>
        <v>0</v>
      </c>
      <c r="R645" s="47">
        <f t="shared" si="533"/>
        <v>1998875</v>
      </c>
      <c r="S645" s="79">
        <f t="shared" si="494"/>
        <v>99.942250866237003</v>
      </c>
      <c r="T645" s="79">
        <v>0</v>
      </c>
      <c r="U645" s="79">
        <v>0</v>
      </c>
      <c r="V645" s="79">
        <f t="shared" si="495"/>
        <v>99.942250866237003</v>
      </c>
      <c r="W645" s="47">
        <f t="shared" si="492"/>
        <v>1155</v>
      </c>
      <c r="X645" s="247">
        <f t="shared" si="503"/>
        <v>1998875</v>
      </c>
      <c r="Y645" s="247">
        <f t="shared" si="501"/>
        <v>0</v>
      </c>
      <c r="Z645" s="247">
        <f t="shared" si="502"/>
        <v>0</v>
      </c>
      <c r="AA645" s="93"/>
    </row>
    <row r="646" spans="1:27">
      <c r="A646" s="44" t="s">
        <v>128</v>
      </c>
      <c r="B646" s="45" t="s">
        <v>113</v>
      </c>
      <c r="C646" s="46">
        <v>34837300</v>
      </c>
      <c r="D646" s="46">
        <v>0</v>
      </c>
      <c r="E646" s="46">
        <v>0</v>
      </c>
      <c r="F646" s="46">
        <f t="shared" si="506"/>
        <v>34837300</v>
      </c>
      <c r="G646" s="47">
        <v>21220300</v>
      </c>
      <c r="H646" s="47">
        <v>0</v>
      </c>
      <c r="I646" s="47">
        <v>0</v>
      </c>
      <c r="J646" s="47">
        <f t="shared" si="493"/>
        <v>21220300</v>
      </c>
      <c r="K646" s="47"/>
      <c r="L646" s="47"/>
      <c r="M646" s="47"/>
      <c r="N646" s="47">
        <f t="shared" si="496"/>
        <v>0</v>
      </c>
      <c r="O646" s="47">
        <f t="shared" si="530"/>
        <v>21220300</v>
      </c>
      <c r="P646" s="47">
        <f t="shared" si="531"/>
        <v>0</v>
      </c>
      <c r="Q646" s="47">
        <f t="shared" si="532"/>
        <v>0</v>
      </c>
      <c r="R646" s="47">
        <f t="shared" si="533"/>
        <v>21220300</v>
      </c>
      <c r="S646" s="79">
        <f t="shared" si="494"/>
        <v>60.912585074044202</v>
      </c>
      <c r="T646" s="79">
        <v>0</v>
      </c>
      <c r="U646" s="79">
        <v>0</v>
      </c>
      <c r="V646" s="79">
        <f t="shared" si="495"/>
        <v>60.912585074044202</v>
      </c>
      <c r="W646" s="47">
        <f t="shared" si="492"/>
        <v>13617000</v>
      </c>
      <c r="X646" s="247">
        <f t="shared" si="503"/>
        <v>21220300</v>
      </c>
      <c r="Y646" s="247">
        <f t="shared" si="501"/>
        <v>0</v>
      </c>
      <c r="Z646" s="247">
        <f t="shared" si="502"/>
        <v>0</v>
      </c>
      <c r="AA646" s="93"/>
    </row>
    <row r="647" spans="1:27">
      <c r="A647" s="44" t="s">
        <v>365</v>
      </c>
      <c r="B647" s="45" t="s">
        <v>392</v>
      </c>
      <c r="C647" s="46">
        <v>5190510</v>
      </c>
      <c r="D647" s="46">
        <v>0</v>
      </c>
      <c r="E647" s="46">
        <v>0</v>
      </c>
      <c r="F647" s="46">
        <f t="shared" si="506"/>
        <v>5190510</v>
      </c>
      <c r="G647" s="47">
        <v>5050000</v>
      </c>
      <c r="H647" s="47">
        <v>0</v>
      </c>
      <c r="I647" s="47">
        <v>0</v>
      </c>
      <c r="J647" s="47">
        <f t="shared" si="493"/>
        <v>5050000</v>
      </c>
      <c r="K647" s="47"/>
      <c r="L647" s="47"/>
      <c r="M647" s="47"/>
      <c r="N647" s="47">
        <f t="shared" si="496"/>
        <v>0</v>
      </c>
      <c r="O647" s="47">
        <f t="shared" si="530"/>
        <v>5050000</v>
      </c>
      <c r="P647" s="47">
        <f t="shared" si="531"/>
        <v>0</v>
      </c>
      <c r="Q647" s="47">
        <f t="shared" si="532"/>
        <v>0</v>
      </c>
      <c r="R647" s="47">
        <f t="shared" si="533"/>
        <v>5050000</v>
      </c>
      <c r="S647" s="79">
        <f t="shared" si="494"/>
        <v>97.292944238620095</v>
      </c>
      <c r="T647" s="79">
        <v>0</v>
      </c>
      <c r="U647" s="79">
        <v>0</v>
      </c>
      <c r="V647" s="79">
        <f t="shared" si="495"/>
        <v>97.292944238620095</v>
      </c>
      <c r="W647" s="47">
        <f t="shared" si="492"/>
        <v>140510</v>
      </c>
      <c r="X647" s="247">
        <f t="shared" si="503"/>
        <v>5050000</v>
      </c>
      <c r="Y647" s="247">
        <f t="shared" si="501"/>
        <v>0</v>
      </c>
      <c r="Z647" s="247">
        <f t="shared" si="502"/>
        <v>0</v>
      </c>
      <c r="AA647" s="93"/>
    </row>
    <row r="648" spans="1:27">
      <c r="A648" s="44" t="s">
        <v>330</v>
      </c>
      <c r="B648" s="45" t="s">
        <v>331</v>
      </c>
      <c r="C648" s="46">
        <v>17193000</v>
      </c>
      <c r="D648" s="46">
        <v>0</v>
      </c>
      <c r="E648" s="46">
        <v>0</v>
      </c>
      <c r="F648" s="46">
        <f t="shared" si="506"/>
        <v>17193000</v>
      </c>
      <c r="G648" s="47">
        <v>17182800</v>
      </c>
      <c r="H648" s="47">
        <v>0</v>
      </c>
      <c r="I648" s="47">
        <v>0</v>
      </c>
      <c r="J648" s="47">
        <f t="shared" si="493"/>
        <v>17182800</v>
      </c>
      <c r="K648" s="47"/>
      <c r="L648" s="47"/>
      <c r="M648" s="47"/>
      <c r="N648" s="47">
        <f t="shared" si="496"/>
        <v>0</v>
      </c>
      <c r="O648" s="47">
        <f t="shared" si="530"/>
        <v>17182800</v>
      </c>
      <c r="P648" s="47">
        <f t="shared" si="531"/>
        <v>0</v>
      </c>
      <c r="Q648" s="47">
        <f t="shared" si="532"/>
        <v>0</v>
      </c>
      <c r="R648" s="47">
        <f t="shared" si="533"/>
        <v>17182800</v>
      </c>
      <c r="S648" s="79">
        <f t="shared" si="494"/>
        <v>99.940673529924979</v>
      </c>
      <c r="T648" s="79">
        <v>0</v>
      </c>
      <c r="U648" s="79">
        <v>0</v>
      </c>
      <c r="V648" s="79">
        <f t="shared" si="495"/>
        <v>99.940673529924979</v>
      </c>
      <c r="W648" s="47">
        <f t="shared" si="492"/>
        <v>10200</v>
      </c>
      <c r="X648" s="247">
        <f t="shared" si="503"/>
        <v>17182800</v>
      </c>
      <c r="Y648" s="247">
        <f t="shared" si="501"/>
        <v>0</v>
      </c>
      <c r="Z648" s="247">
        <f t="shared" si="502"/>
        <v>0</v>
      </c>
      <c r="AA648" s="93"/>
    </row>
    <row r="649" spans="1:27" ht="18.75" customHeight="1">
      <c r="A649" s="44" t="s">
        <v>231</v>
      </c>
      <c r="B649" s="45" t="s">
        <v>119</v>
      </c>
      <c r="C649" s="46">
        <v>15000000</v>
      </c>
      <c r="D649" s="46">
        <v>0</v>
      </c>
      <c r="E649" s="46">
        <v>0</v>
      </c>
      <c r="F649" s="46">
        <f t="shared" si="506"/>
        <v>15000000</v>
      </c>
      <c r="G649" s="47">
        <v>15223900</v>
      </c>
      <c r="H649" s="47">
        <v>0</v>
      </c>
      <c r="I649" s="47">
        <v>0</v>
      </c>
      <c r="J649" s="47">
        <f t="shared" si="493"/>
        <v>15223900</v>
      </c>
      <c r="K649" s="47"/>
      <c r="L649" s="47"/>
      <c r="M649" s="47"/>
      <c r="N649" s="47">
        <f t="shared" si="496"/>
        <v>0</v>
      </c>
      <c r="O649" s="47">
        <f t="shared" si="530"/>
        <v>15223900</v>
      </c>
      <c r="P649" s="47">
        <f t="shared" si="531"/>
        <v>0</v>
      </c>
      <c r="Q649" s="47">
        <f t="shared" si="532"/>
        <v>0</v>
      </c>
      <c r="R649" s="47">
        <f t="shared" si="533"/>
        <v>15223900</v>
      </c>
      <c r="S649" s="79">
        <f t="shared" si="494"/>
        <v>101.49266666666668</v>
      </c>
      <c r="T649" s="79">
        <v>0</v>
      </c>
      <c r="U649" s="79">
        <v>0</v>
      </c>
      <c r="V649" s="79">
        <f t="shared" si="495"/>
        <v>101.49266666666668</v>
      </c>
      <c r="W649" s="47">
        <f t="shared" si="492"/>
        <v>-223900</v>
      </c>
      <c r="X649" s="247">
        <f t="shared" si="503"/>
        <v>15223900</v>
      </c>
      <c r="Y649" s="247">
        <f t="shared" si="501"/>
        <v>0</v>
      </c>
      <c r="Z649" s="247">
        <f t="shared" si="502"/>
        <v>0</v>
      </c>
      <c r="AA649" s="93"/>
    </row>
    <row r="650" spans="1:27" ht="18.75" customHeight="1">
      <c r="A650" s="44" t="s">
        <v>275</v>
      </c>
      <c r="B650" s="45" t="s">
        <v>440</v>
      </c>
      <c r="C650" s="46">
        <v>42050000</v>
      </c>
      <c r="D650" s="46">
        <v>0</v>
      </c>
      <c r="E650" s="46">
        <v>0</v>
      </c>
      <c r="F650" s="46">
        <f t="shared" si="506"/>
        <v>42050000</v>
      </c>
      <c r="G650" s="47">
        <v>37500000</v>
      </c>
      <c r="H650" s="47">
        <v>0</v>
      </c>
      <c r="I650" s="47">
        <v>0</v>
      </c>
      <c r="J650" s="47">
        <f t="shared" si="493"/>
        <v>37500000</v>
      </c>
      <c r="K650" s="47"/>
      <c r="L650" s="47"/>
      <c r="M650" s="47"/>
      <c r="N650" s="47">
        <f t="shared" si="496"/>
        <v>0</v>
      </c>
      <c r="O650" s="47">
        <f t="shared" si="530"/>
        <v>37500000</v>
      </c>
      <c r="P650" s="47">
        <f t="shared" si="531"/>
        <v>0</v>
      </c>
      <c r="Q650" s="47">
        <f t="shared" si="532"/>
        <v>0</v>
      </c>
      <c r="R650" s="47">
        <f t="shared" si="533"/>
        <v>37500000</v>
      </c>
      <c r="S650" s="79">
        <f t="shared" si="494"/>
        <v>89.179548156956002</v>
      </c>
      <c r="T650" s="79">
        <v>0</v>
      </c>
      <c r="U650" s="79">
        <v>0</v>
      </c>
      <c r="V650" s="79">
        <f t="shared" si="495"/>
        <v>89.179548156956002</v>
      </c>
      <c r="W650" s="47">
        <f t="shared" si="492"/>
        <v>4550000</v>
      </c>
      <c r="X650" s="247">
        <f t="shared" si="503"/>
        <v>37500000</v>
      </c>
      <c r="Y650" s="247">
        <f t="shared" si="501"/>
        <v>0</v>
      </c>
      <c r="Z650" s="247">
        <f t="shared" si="502"/>
        <v>0</v>
      </c>
      <c r="AA650" s="93"/>
    </row>
    <row r="651" spans="1:27">
      <c r="A651" s="44" t="s">
        <v>332</v>
      </c>
      <c r="B651" s="45" t="s">
        <v>333</v>
      </c>
      <c r="C651" s="46">
        <v>1608000</v>
      </c>
      <c r="D651" s="46">
        <v>0</v>
      </c>
      <c r="E651" s="46">
        <v>0</v>
      </c>
      <c r="F651" s="46">
        <f t="shared" si="506"/>
        <v>1608000</v>
      </c>
      <c r="G651" s="47">
        <v>1603700</v>
      </c>
      <c r="H651" s="47">
        <v>0</v>
      </c>
      <c r="I651" s="47">
        <v>0</v>
      </c>
      <c r="J651" s="47">
        <f t="shared" si="493"/>
        <v>1603700</v>
      </c>
      <c r="K651" s="47"/>
      <c r="L651" s="47"/>
      <c r="M651" s="47"/>
      <c r="N651" s="47">
        <f t="shared" si="496"/>
        <v>0</v>
      </c>
      <c r="O651" s="47">
        <f t="shared" si="530"/>
        <v>1603700</v>
      </c>
      <c r="P651" s="47">
        <f t="shared" si="531"/>
        <v>0</v>
      </c>
      <c r="Q651" s="47">
        <f t="shared" si="532"/>
        <v>0</v>
      </c>
      <c r="R651" s="47">
        <f t="shared" si="533"/>
        <v>1603700</v>
      </c>
      <c r="S651" s="79">
        <f t="shared" si="494"/>
        <v>99.732587064676608</v>
      </c>
      <c r="T651" s="79">
        <v>0</v>
      </c>
      <c r="U651" s="79">
        <v>0</v>
      </c>
      <c r="V651" s="79">
        <f t="shared" si="495"/>
        <v>99.732587064676608</v>
      </c>
      <c r="W651" s="47">
        <f t="shared" si="492"/>
        <v>4300</v>
      </c>
      <c r="X651" s="247">
        <f t="shared" si="503"/>
        <v>1603700</v>
      </c>
      <c r="Y651" s="247">
        <f t="shared" si="501"/>
        <v>0</v>
      </c>
      <c r="Z651" s="247">
        <f t="shared" si="502"/>
        <v>0</v>
      </c>
      <c r="AA651" s="93"/>
    </row>
    <row r="652" spans="1:27">
      <c r="A652" s="44" t="s">
        <v>276</v>
      </c>
      <c r="B652" s="45" t="s">
        <v>429</v>
      </c>
      <c r="C652" s="46">
        <v>18450000</v>
      </c>
      <c r="D652" s="46">
        <v>0</v>
      </c>
      <c r="E652" s="46">
        <v>0</v>
      </c>
      <c r="F652" s="46">
        <f t="shared" si="506"/>
        <v>18450000</v>
      </c>
      <c r="G652" s="47">
        <v>7200000</v>
      </c>
      <c r="H652" s="47">
        <v>0</v>
      </c>
      <c r="I652" s="47">
        <v>0</v>
      </c>
      <c r="J652" s="47">
        <f t="shared" si="493"/>
        <v>7200000</v>
      </c>
      <c r="K652" s="47"/>
      <c r="L652" s="47"/>
      <c r="M652" s="47"/>
      <c r="N652" s="47">
        <f t="shared" si="496"/>
        <v>0</v>
      </c>
      <c r="O652" s="47">
        <f t="shared" si="530"/>
        <v>7200000</v>
      </c>
      <c r="P652" s="47">
        <f t="shared" si="531"/>
        <v>0</v>
      </c>
      <c r="Q652" s="47">
        <f t="shared" si="532"/>
        <v>0</v>
      </c>
      <c r="R652" s="47">
        <f t="shared" si="533"/>
        <v>7200000</v>
      </c>
      <c r="S652" s="79">
        <f t="shared" si="494"/>
        <v>39.024390243902438</v>
      </c>
      <c r="T652" s="79">
        <v>0</v>
      </c>
      <c r="U652" s="79">
        <v>0</v>
      </c>
      <c r="V652" s="79">
        <f t="shared" si="495"/>
        <v>39.024390243902438</v>
      </c>
      <c r="W652" s="47">
        <f t="shared" si="492"/>
        <v>11250000</v>
      </c>
      <c r="X652" s="247">
        <f t="shared" si="503"/>
        <v>7200000</v>
      </c>
      <c r="Y652" s="247">
        <f t="shared" si="501"/>
        <v>0</v>
      </c>
      <c r="Z652" s="247">
        <f t="shared" si="502"/>
        <v>0</v>
      </c>
      <c r="AA652" s="93"/>
    </row>
    <row r="653" spans="1:27">
      <c r="A653" s="44" t="s">
        <v>300</v>
      </c>
      <c r="B653" s="45" t="s">
        <v>301</v>
      </c>
      <c r="C653" s="46">
        <v>1221550000</v>
      </c>
      <c r="D653" s="46">
        <v>0</v>
      </c>
      <c r="E653" s="46">
        <v>0</v>
      </c>
      <c r="F653" s="46">
        <f t="shared" si="506"/>
        <v>1221550000</v>
      </c>
      <c r="G653" s="47">
        <v>593230000</v>
      </c>
      <c r="H653" s="47">
        <v>0</v>
      </c>
      <c r="I653" s="47">
        <v>0</v>
      </c>
      <c r="J653" s="47">
        <f t="shared" si="493"/>
        <v>593230000</v>
      </c>
      <c r="K653" s="47"/>
      <c r="L653" s="47"/>
      <c r="M653" s="47"/>
      <c r="N653" s="47">
        <f t="shared" si="496"/>
        <v>0</v>
      </c>
      <c r="O653" s="47">
        <f t="shared" si="530"/>
        <v>593230000</v>
      </c>
      <c r="P653" s="47">
        <f t="shared" si="531"/>
        <v>0</v>
      </c>
      <c r="Q653" s="47">
        <f t="shared" si="532"/>
        <v>0</v>
      </c>
      <c r="R653" s="47">
        <f t="shared" si="533"/>
        <v>593230000</v>
      </c>
      <c r="S653" s="79">
        <f t="shared" si="494"/>
        <v>48.563710040522288</v>
      </c>
      <c r="T653" s="79">
        <v>0</v>
      </c>
      <c r="U653" s="79">
        <v>0</v>
      </c>
      <c r="V653" s="79">
        <f t="shared" si="495"/>
        <v>48.563710040522288</v>
      </c>
      <c r="W653" s="47">
        <f t="shared" si="492"/>
        <v>628320000</v>
      </c>
      <c r="X653" s="247">
        <f t="shared" si="503"/>
        <v>593230000</v>
      </c>
      <c r="Y653" s="247">
        <f t="shared" si="501"/>
        <v>0</v>
      </c>
      <c r="Z653" s="247">
        <f t="shared" si="502"/>
        <v>0</v>
      </c>
      <c r="AA653" s="93"/>
    </row>
    <row r="654" spans="1:27">
      <c r="A654" s="44" t="s">
        <v>502</v>
      </c>
      <c r="B654" s="45" t="s">
        <v>503</v>
      </c>
      <c r="C654" s="46">
        <v>9975000</v>
      </c>
      <c r="D654" s="46">
        <v>0</v>
      </c>
      <c r="E654" s="46">
        <v>0</v>
      </c>
      <c r="F654" s="46">
        <f t="shared" si="506"/>
        <v>9975000</v>
      </c>
      <c r="G654" s="47">
        <v>5975000</v>
      </c>
      <c r="H654" s="47">
        <v>0</v>
      </c>
      <c r="I654" s="47">
        <v>0</v>
      </c>
      <c r="J654" s="47">
        <f t="shared" si="493"/>
        <v>5975000</v>
      </c>
      <c r="K654" s="47"/>
      <c r="L654" s="47"/>
      <c r="M654" s="47"/>
      <c r="N654" s="47">
        <f t="shared" si="496"/>
        <v>0</v>
      </c>
      <c r="O654" s="47">
        <f t="shared" si="530"/>
        <v>5975000</v>
      </c>
      <c r="P654" s="47">
        <f t="shared" si="531"/>
        <v>0</v>
      </c>
      <c r="Q654" s="47">
        <f t="shared" si="532"/>
        <v>0</v>
      </c>
      <c r="R654" s="47">
        <f t="shared" si="533"/>
        <v>5975000</v>
      </c>
      <c r="S654" s="79">
        <f t="shared" si="494"/>
        <v>59.899749373433586</v>
      </c>
      <c r="T654" s="79">
        <v>0</v>
      </c>
      <c r="U654" s="79">
        <v>0</v>
      </c>
      <c r="V654" s="79">
        <f t="shared" si="495"/>
        <v>59.899749373433586</v>
      </c>
      <c r="W654" s="47">
        <f t="shared" si="492"/>
        <v>4000000</v>
      </c>
      <c r="X654" s="247">
        <f t="shared" si="503"/>
        <v>5975000</v>
      </c>
      <c r="Y654" s="247">
        <f t="shared" si="501"/>
        <v>0</v>
      </c>
      <c r="Z654" s="247">
        <f t="shared" si="502"/>
        <v>0</v>
      </c>
      <c r="AA654" s="93"/>
    </row>
    <row r="655" spans="1:27" ht="15.75" customHeight="1">
      <c r="A655" s="44" t="s">
        <v>100</v>
      </c>
      <c r="B655" s="45" t="s">
        <v>101</v>
      </c>
      <c r="C655" s="46">
        <v>637560000</v>
      </c>
      <c r="D655" s="46">
        <v>0</v>
      </c>
      <c r="E655" s="46">
        <v>0</v>
      </c>
      <c r="F655" s="46">
        <f t="shared" si="506"/>
        <v>637560000</v>
      </c>
      <c r="G655" s="47">
        <v>496506100</v>
      </c>
      <c r="H655" s="47">
        <v>0</v>
      </c>
      <c r="I655" s="47">
        <v>0</v>
      </c>
      <c r="J655" s="47">
        <f t="shared" si="493"/>
        <v>496506100</v>
      </c>
      <c r="K655" s="47"/>
      <c r="L655" s="47"/>
      <c r="M655" s="47"/>
      <c r="N655" s="47">
        <f t="shared" si="496"/>
        <v>0</v>
      </c>
      <c r="O655" s="47">
        <f t="shared" si="530"/>
        <v>496506100</v>
      </c>
      <c r="P655" s="47">
        <f t="shared" si="531"/>
        <v>0</v>
      </c>
      <c r="Q655" s="47">
        <f t="shared" si="532"/>
        <v>0</v>
      </c>
      <c r="R655" s="47">
        <f t="shared" si="533"/>
        <v>496506100</v>
      </c>
      <c r="S655" s="79">
        <f t="shared" si="494"/>
        <v>77.875980299893342</v>
      </c>
      <c r="T655" s="79">
        <v>0</v>
      </c>
      <c r="U655" s="79">
        <v>0</v>
      </c>
      <c r="V655" s="79">
        <f t="shared" si="495"/>
        <v>77.875980299893342</v>
      </c>
      <c r="W655" s="47">
        <f t="shared" si="492"/>
        <v>141053900</v>
      </c>
      <c r="X655" s="247">
        <f t="shared" si="503"/>
        <v>496506100</v>
      </c>
      <c r="Y655" s="247">
        <f t="shared" si="501"/>
        <v>0</v>
      </c>
      <c r="Z655" s="247">
        <f t="shared" si="502"/>
        <v>0</v>
      </c>
      <c r="AA655" s="93"/>
    </row>
    <row r="656" spans="1:27" ht="15.75" customHeight="1">
      <c r="A656" s="44" t="s">
        <v>483</v>
      </c>
      <c r="B656" s="45" t="s">
        <v>484</v>
      </c>
      <c r="C656" s="46">
        <v>12750000</v>
      </c>
      <c r="D656" s="46">
        <v>0</v>
      </c>
      <c r="E656" s="46">
        <v>0</v>
      </c>
      <c r="F656" s="46">
        <f t="shared" si="506"/>
        <v>12750000</v>
      </c>
      <c r="G656" s="47">
        <v>7500000</v>
      </c>
      <c r="H656" s="47">
        <v>0</v>
      </c>
      <c r="I656" s="47">
        <v>0</v>
      </c>
      <c r="J656" s="47">
        <f t="shared" si="493"/>
        <v>7500000</v>
      </c>
      <c r="K656" s="47"/>
      <c r="L656" s="47"/>
      <c r="M656" s="47"/>
      <c r="N656" s="47">
        <f>SUM(K656:M656)</f>
        <v>0</v>
      </c>
      <c r="O656" s="47">
        <f>K656+G656</f>
        <v>7500000</v>
      </c>
      <c r="P656" s="47">
        <f t="shared" si="531"/>
        <v>0</v>
      </c>
      <c r="Q656" s="47">
        <f t="shared" si="532"/>
        <v>0</v>
      </c>
      <c r="R656" s="47">
        <f t="shared" si="533"/>
        <v>7500000</v>
      </c>
      <c r="S656" s="79">
        <f t="shared" si="494"/>
        <v>58.82352941176471</v>
      </c>
      <c r="T656" s="79">
        <v>0</v>
      </c>
      <c r="U656" s="79">
        <v>0</v>
      </c>
      <c r="V656" s="79">
        <f t="shared" si="495"/>
        <v>58.82352941176471</v>
      </c>
      <c r="W656" s="47">
        <f t="shared" si="492"/>
        <v>5250000</v>
      </c>
      <c r="X656" s="247">
        <f t="shared" si="503"/>
        <v>7500000</v>
      </c>
      <c r="Y656" s="247">
        <f t="shared" si="501"/>
        <v>0</v>
      </c>
      <c r="Z656" s="247">
        <f t="shared" si="502"/>
        <v>0</v>
      </c>
      <c r="AA656" s="93"/>
    </row>
    <row r="657" spans="1:27">
      <c r="A657" s="44" t="s">
        <v>279</v>
      </c>
      <c r="B657" s="45" t="s">
        <v>415</v>
      </c>
      <c r="C657" s="46">
        <v>30147032</v>
      </c>
      <c r="D657" s="46">
        <v>0</v>
      </c>
      <c r="E657" s="46">
        <v>0</v>
      </c>
      <c r="F657" s="46">
        <f t="shared" si="506"/>
        <v>30147032</v>
      </c>
      <c r="G657" s="48">
        <v>30069900</v>
      </c>
      <c r="H657" s="47">
        <v>0</v>
      </c>
      <c r="I657" s="47">
        <v>0</v>
      </c>
      <c r="J657" s="47">
        <f t="shared" si="493"/>
        <v>30069900</v>
      </c>
      <c r="K657" s="47"/>
      <c r="L657" s="47"/>
      <c r="M657" s="47"/>
      <c r="N657" s="47">
        <f t="shared" si="496"/>
        <v>0</v>
      </c>
      <c r="O657" s="47">
        <f t="shared" si="530"/>
        <v>30069900</v>
      </c>
      <c r="P657" s="47">
        <f t="shared" si="531"/>
        <v>0</v>
      </c>
      <c r="Q657" s="47">
        <f t="shared" si="532"/>
        <v>0</v>
      </c>
      <c r="R657" s="47">
        <f t="shared" si="533"/>
        <v>30069900</v>
      </c>
      <c r="S657" s="79">
        <f t="shared" si="494"/>
        <v>99.744147284548617</v>
      </c>
      <c r="T657" s="79">
        <v>0</v>
      </c>
      <c r="U657" s="79">
        <v>0</v>
      </c>
      <c r="V657" s="79">
        <f t="shared" si="495"/>
        <v>99.744147284548617</v>
      </c>
      <c r="W657" s="47">
        <f t="shared" si="492"/>
        <v>77132</v>
      </c>
      <c r="X657" s="247">
        <f t="shared" si="503"/>
        <v>30069900</v>
      </c>
      <c r="Y657" s="247">
        <f t="shared" si="501"/>
        <v>0</v>
      </c>
      <c r="Z657" s="247">
        <f t="shared" si="502"/>
        <v>0</v>
      </c>
      <c r="AA657" s="93"/>
    </row>
    <row r="658" spans="1:27">
      <c r="A658" s="148" t="s">
        <v>504</v>
      </c>
      <c r="B658" s="97" t="s">
        <v>505</v>
      </c>
      <c r="C658" s="149">
        <v>6744500</v>
      </c>
      <c r="D658" s="46">
        <v>0</v>
      </c>
      <c r="E658" s="46">
        <v>0</v>
      </c>
      <c r="F658" s="46">
        <f t="shared" si="506"/>
        <v>6744500</v>
      </c>
      <c r="G658" s="48">
        <v>6737700</v>
      </c>
      <c r="H658" s="47">
        <v>0</v>
      </c>
      <c r="I658" s="47">
        <v>0</v>
      </c>
      <c r="J658" s="47">
        <f t="shared" si="493"/>
        <v>6737700</v>
      </c>
      <c r="K658" s="47"/>
      <c r="L658" s="47"/>
      <c r="M658" s="47"/>
      <c r="N658" s="47">
        <f t="shared" si="496"/>
        <v>0</v>
      </c>
      <c r="O658" s="47">
        <f t="shared" si="530"/>
        <v>6737700</v>
      </c>
      <c r="P658" s="47">
        <f t="shared" si="531"/>
        <v>0</v>
      </c>
      <c r="Q658" s="47">
        <f t="shared" si="532"/>
        <v>0</v>
      </c>
      <c r="R658" s="47">
        <f t="shared" si="533"/>
        <v>6737700</v>
      </c>
      <c r="S658" s="79">
        <f t="shared" si="494"/>
        <v>99.899177107272592</v>
      </c>
      <c r="T658" s="79">
        <v>0</v>
      </c>
      <c r="U658" s="79">
        <v>0</v>
      </c>
      <c r="V658" s="79">
        <f t="shared" si="495"/>
        <v>99.899177107272592</v>
      </c>
      <c r="W658" s="47">
        <f t="shared" si="492"/>
        <v>6800</v>
      </c>
      <c r="X658" s="247">
        <f t="shared" si="503"/>
        <v>6737700</v>
      </c>
      <c r="Y658" s="247">
        <f t="shared" si="501"/>
        <v>0</v>
      </c>
      <c r="Z658" s="247">
        <f t="shared" si="502"/>
        <v>0</v>
      </c>
      <c r="AA658" s="93"/>
    </row>
    <row r="659" spans="1:27">
      <c r="A659" s="44" t="s">
        <v>417</v>
      </c>
      <c r="B659" s="44" t="s">
        <v>418</v>
      </c>
      <c r="C659" s="47">
        <v>12319125</v>
      </c>
      <c r="D659" s="46">
        <v>0</v>
      </c>
      <c r="E659" s="46">
        <v>0</v>
      </c>
      <c r="F659" s="46">
        <f t="shared" si="506"/>
        <v>12319125</v>
      </c>
      <c r="G659" s="48">
        <v>12298800</v>
      </c>
      <c r="H659" s="47">
        <v>0</v>
      </c>
      <c r="I659" s="47">
        <v>0</v>
      </c>
      <c r="J659" s="47">
        <f t="shared" si="493"/>
        <v>12298800</v>
      </c>
      <c r="K659" s="47"/>
      <c r="L659" s="47"/>
      <c r="M659" s="47"/>
      <c r="N659" s="47">
        <f t="shared" si="496"/>
        <v>0</v>
      </c>
      <c r="O659" s="47">
        <f t="shared" si="530"/>
        <v>12298800</v>
      </c>
      <c r="P659" s="47">
        <f t="shared" si="531"/>
        <v>0</v>
      </c>
      <c r="Q659" s="47">
        <f t="shared" si="532"/>
        <v>0</v>
      </c>
      <c r="R659" s="47">
        <f t="shared" si="533"/>
        <v>12298800</v>
      </c>
      <c r="S659" s="79">
        <f t="shared" si="494"/>
        <v>99.835012632796577</v>
      </c>
      <c r="T659" s="79">
        <v>0</v>
      </c>
      <c r="U659" s="79">
        <v>0</v>
      </c>
      <c r="V659" s="79">
        <f t="shared" si="495"/>
        <v>99.835012632796577</v>
      </c>
      <c r="W659" s="47">
        <f t="shared" si="492"/>
        <v>20325</v>
      </c>
      <c r="X659" s="247">
        <f t="shared" si="503"/>
        <v>12298800</v>
      </c>
      <c r="Y659" s="247">
        <f t="shared" si="501"/>
        <v>0</v>
      </c>
      <c r="Z659" s="247">
        <f t="shared" si="502"/>
        <v>0</v>
      </c>
      <c r="AA659" s="93"/>
    </row>
    <row r="660" spans="1:27">
      <c r="A660" s="44" t="s">
        <v>421</v>
      </c>
      <c r="B660" s="44" t="s">
        <v>422</v>
      </c>
      <c r="C660" s="47">
        <v>39892800</v>
      </c>
      <c r="D660" s="46">
        <v>0</v>
      </c>
      <c r="E660" s="46">
        <v>0</v>
      </c>
      <c r="F660" s="46">
        <f t="shared" si="506"/>
        <v>39892800</v>
      </c>
      <c r="G660" s="48">
        <v>39849000</v>
      </c>
      <c r="H660" s="47">
        <v>0</v>
      </c>
      <c r="I660" s="47">
        <v>0</v>
      </c>
      <c r="J660" s="47">
        <f t="shared" si="493"/>
        <v>39849000</v>
      </c>
      <c r="K660" s="47"/>
      <c r="L660" s="47"/>
      <c r="M660" s="47"/>
      <c r="N660" s="47">
        <f t="shared" si="496"/>
        <v>0</v>
      </c>
      <c r="O660" s="47">
        <f t="shared" si="530"/>
        <v>39849000</v>
      </c>
      <c r="P660" s="47">
        <f t="shared" si="531"/>
        <v>0</v>
      </c>
      <c r="Q660" s="47">
        <f t="shared" si="532"/>
        <v>0</v>
      </c>
      <c r="R660" s="47">
        <f t="shared" si="533"/>
        <v>39849000</v>
      </c>
      <c r="S660" s="79">
        <f t="shared" si="494"/>
        <v>99.890205751413788</v>
      </c>
      <c r="T660" s="79">
        <v>0</v>
      </c>
      <c r="U660" s="79">
        <v>0</v>
      </c>
      <c r="V660" s="79">
        <f t="shared" si="495"/>
        <v>99.890205751413788</v>
      </c>
      <c r="W660" s="47">
        <f>F660-R660</f>
        <v>43800</v>
      </c>
      <c r="X660" s="247">
        <f t="shared" si="503"/>
        <v>39849000</v>
      </c>
      <c r="Y660" s="247">
        <f t="shared" si="501"/>
        <v>0</v>
      </c>
      <c r="Z660" s="247">
        <f t="shared" si="502"/>
        <v>0</v>
      </c>
      <c r="AA660" s="93"/>
    </row>
    <row r="661" spans="1:27">
      <c r="A661" s="44" t="s">
        <v>423</v>
      </c>
      <c r="B661" s="44" t="s">
        <v>424</v>
      </c>
      <c r="C661" s="47">
        <v>156000000</v>
      </c>
      <c r="D661" s="46">
        <v>0</v>
      </c>
      <c r="E661" s="46">
        <v>0</v>
      </c>
      <c r="F661" s="46">
        <f t="shared" si="506"/>
        <v>156000000</v>
      </c>
      <c r="G661" s="48">
        <v>155303713.75999999</v>
      </c>
      <c r="H661" s="47">
        <v>0</v>
      </c>
      <c r="I661" s="47">
        <v>0</v>
      </c>
      <c r="J661" s="47">
        <f t="shared" ref="J661:J663" si="538">G661+H661+I661</f>
        <v>155303713.75999999</v>
      </c>
      <c r="K661" s="79"/>
      <c r="L661" s="47"/>
      <c r="M661" s="47"/>
      <c r="N661" s="47">
        <f t="shared" si="496"/>
        <v>0</v>
      </c>
      <c r="O661" s="47">
        <f t="shared" si="530"/>
        <v>155303713.75999999</v>
      </c>
      <c r="P661" s="47">
        <f t="shared" si="531"/>
        <v>0</v>
      </c>
      <c r="Q661" s="47">
        <f t="shared" si="532"/>
        <v>0</v>
      </c>
      <c r="R661" s="253">
        <f t="shared" si="533"/>
        <v>155303713.75999999</v>
      </c>
      <c r="S661" s="79">
        <f>O661/C661*100</f>
        <v>99.553662666666668</v>
      </c>
      <c r="T661" s="79">
        <v>0</v>
      </c>
      <c r="U661" s="79">
        <v>0</v>
      </c>
      <c r="V661" s="79">
        <f>R661/F661*100</f>
        <v>99.553662666666668</v>
      </c>
      <c r="W661" s="47">
        <f>F661-R661</f>
        <v>696286.24000000954</v>
      </c>
      <c r="X661" s="247">
        <f t="shared" si="503"/>
        <v>155303713.75999999</v>
      </c>
      <c r="Y661" s="247">
        <f t="shared" si="501"/>
        <v>0</v>
      </c>
      <c r="Z661" s="247">
        <f t="shared" si="502"/>
        <v>0</v>
      </c>
      <c r="AA661" s="93"/>
    </row>
    <row r="662" spans="1:27">
      <c r="A662" s="44" t="s">
        <v>381</v>
      </c>
      <c r="B662" s="44" t="s">
        <v>506</v>
      </c>
      <c r="C662" s="47">
        <v>65408000</v>
      </c>
      <c r="D662" s="46">
        <v>0</v>
      </c>
      <c r="E662" s="46">
        <v>0</v>
      </c>
      <c r="F662" s="46">
        <f t="shared" si="506"/>
        <v>65408000</v>
      </c>
      <c r="G662" s="48">
        <v>65240250</v>
      </c>
      <c r="H662" s="47">
        <v>0</v>
      </c>
      <c r="I662" s="47">
        <v>0</v>
      </c>
      <c r="J662" s="47">
        <f t="shared" si="538"/>
        <v>65240250</v>
      </c>
      <c r="K662" s="47"/>
      <c r="L662" s="47"/>
      <c r="M662" s="47"/>
      <c r="N662" s="47">
        <f>SUM(K662:M662)</f>
        <v>0</v>
      </c>
      <c r="O662" s="47">
        <f t="shared" si="530"/>
        <v>65240250</v>
      </c>
      <c r="P662" s="47">
        <f t="shared" si="531"/>
        <v>0</v>
      </c>
      <c r="Q662" s="47">
        <f t="shared" si="532"/>
        <v>0</v>
      </c>
      <c r="R662" s="47">
        <f t="shared" si="533"/>
        <v>65240250</v>
      </c>
      <c r="S662" s="79">
        <f>O662/C662*100</f>
        <v>99.743532901174177</v>
      </c>
      <c r="T662" s="79">
        <v>0</v>
      </c>
      <c r="U662" s="79">
        <v>0</v>
      </c>
      <c r="V662" s="79">
        <f>R662/F662*100</f>
        <v>99.743532901174177</v>
      </c>
      <c r="W662" s="47">
        <f>F662-R662</f>
        <v>167750</v>
      </c>
      <c r="X662" s="247">
        <f t="shared" si="503"/>
        <v>65240250</v>
      </c>
      <c r="Y662" s="247">
        <f t="shared" si="501"/>
        <v>0</v>
      </c>
      <c r="Z662" s="247">
        <f t="shared" si="502"/>
        <v>0</v>
      </c>
      <c r="AA662" s="93"/>
    </row>
    <row r="663" spans="1:27">
      <c r="A663" s="44" t="s">
        <v>507</v>
      </c>
      <c r="B663" s="44" t="s">
        <v>508</v>
      </c>
      <c r="C663" s="47">
        <v>253731380</v>
      </c>
      <c r="D663" s="46">
        <v>0</v>
      </c>
      <c r="E663" s="46">
        <v>0</v>
      </c>
      <c r="F663" s="46">
        <f t="shared" si="506"/>
        <v>253731380</v>
      </c>
      <c r="G663" s="48">
        <v>252652483.5</v>
      </c>
      <c r="H663" s="47">
        <v>0</v>
      </c>
      <c r="I663" s="47">
        <v>0</v>
      </c>
      <c r="J663" s="47">
        <f t="shared" si="538"/>
        <v>252652483.5</v>
      </c>
      <c r="K663" s="47"/>
      <c r="L663" s="47"/>
      <c r="M663" s="47"/>
      <c r="N663" s="47">
        <f>SUM(K663:M663)</f>
        <v>0</v>
      </c>
      <c r="O663" s="47">
        <f t="shared" si="530"/>
        <v>252652483.5</v>
      </c>
      <c r="P663" s="47">
        <f t="shared" si="531"/>
        <v>0</v>
      </c>
      <c r="Q663" s="47">
        <f t="shared" si="532"/>
        <v>0</v>
      </c>
      <c r="R663" s="253">
        <f t="shared" si="533"/>
        <v>252652483.5</v>
      </c>
      <c r="S663" s="79">
        <f>O663/C663*100</f>
        <v>99.574787911530692</v>
      </c>
      <c r="T663" s="79">
        <v>0</v>
      </c>
      <c r="U663" s="79">
        <v>0</v>
      </c>
      <c r="V663" s="79">
        <f>R663/F663*100</f>
        <v>99.574787911530692</v>
      </c>
      <c r="W663" s="47">
        <f>F663-R663</f>
        <v>1078896.5</v>
      </c>
      <c r="X663" s="247">
        <f t="shared" si="503"/>
        <v>252652483.5</v>
      </c>
      <c r="Y663" s="247">
        <f t="shared" si="501"/>
        <v>0</v>
      </c>
      <c r="Z663" s="247">
        <f t="shared" si="502"/>
        <v>0</v>
      </c>
      <c r="AA663" s="93"/>
    </row>
    <row r="664" spans="1:27">
      <c r="B664" s="151"/>
      <c r="C664" s="27"/>
      <c r="D664" s="27"/>
      <c r="E664" s="27"/>
      <c r="F664" s="27"/>
      <c r="G664" s="152"/>
      <c r="H664" s="152"/>
      <c r="I664" s="152"/>
      <c r="J664" s="152"/>
      <c r="K664" s="152"/>
      <c r="L664" s="152"/>
      <c r="M664" s="152"/>
      <c r="N664" s="152"/>
    </row>
    <row r="665" spans="1:27">
      <c r="B665" s="151"/>
      <c r="C665" s="27"/>
      <c r="D665" s="27"/>
      <c r="E665" s="27"/>
      <c r="F665" s="27"/>
      <c r="G665" s="152"/>
      <c r="H665" s="152"/>
      <c r="I665" s="152"/>
      <c r="J665" s="152"/>
      <c r="K665" s="152"/>
      <c r="L665" s="152"/>
      <c r="M665" s="152"/>
      <c r="N665" s="152"/>
    </row>
    <row r="666" spans="1:27">
      <c r="B666" s="151"/>
      <c r="C666" s="27"/>
      <c r="D666" s="27"/>
      <c r="E666" s="27"/>
      <c r="F666" s="27"/>
      <c r="G666" s="152"/>
      <c r="H666" s="152"/>
      <c r="I666" s="152"/>
      <c r="J666" s="152"/>
      <c r="K666" s="152"/>
      <c r="L666" s="152"/>
      <c r="M666" s="152"/>
      <c r="N666" s="152"/>
      <c r="O666" s="18"/>
      <c r="P666" s="18"/>
      <c r="Q666" s="18"/>
      <c r="R666" s="18"/>
      <c r="S666" s="18"/>
      <c r="T666" s="18"/>
      <c r="U666" s="18"/>
      <c r="V666" s="18"/>
      <c r="W666" s="18"/>
    </row>
    <row r="667" spans="1:27">
      <c r="B667" s="270"/>
      <c r="C667" s="270"/>
      <c r="D667" s="270"/>
      <c r="E667" s="270"/>
      <c r="F667" s="270"/>
      <c r="G667" s="270"/>
      <c r="H667" s="270"/>
      <c r="I667" s="270"/>
      <c r="J667" s="270"/>
      <c r="K667" s="270"/>
      <c r="L667" s="153"/>
      <c r="M667" s="225"/>
      <c r="N667" s="153"/>
      <c r="O667" s="18"/>
      <c r="P667" s="18"/>
      <c r="Q667" s="18"/>
      <c r="R667" s="18"/>
      <c r="S667" s="18"/>
      <c r="T667" s="18"/>
      <c r="U667" s="18"/>
      <c r="V667" s="18"/>
      <c r="W667" s="18"/>
    </row>
    <row r="668" spans="1:27">
      <c r="B668" s="264"/>
      <c r="C668" s="264"/>
      <c r="D668" s="264"/>
      <c r="E668" s="264"/>
      <c r="F668" s="264"/>
      <c r="G668" s="264"/>
      <c r="H668" s="264"/>
      <c r="I668" s="264"/>
      <c r="J668" s="264"/>
      <c r="K668" s="264"/>
      <c r="L668" s="150"/>
      <c r="M668" s="223"/>
      <c r="N668" s="150"/>
      <c r="O668" s="18"/>
      <c r="P668" s="18"/>
      <c r="Q668" s="18"/>
      <c r="R668" s="18"/>
      <c r="S668" s="18"/>
      <c r="T668" s="18"/>
      <c r="U668" s="18"/>
      <c r="V668" s="18"/>
      <c r="W668" s="18"/>
    </row>
    <row r="669" spans="1:27">
      <c r="B669" s="154"/>
      <c r="C669" s="155"/>
      <c r="D669" s="155"/>
      <c r="E669" s="155"/>
      <c r="F669" s="155"/>
      <c r="G669" s="20"/>
      <c r="H669" s="20"/>
      <c r="I669" s="20"/>
      <c r="J669" s="20"/>
      <c r="O669" s="18"/>
      <c r="P669" s="18"/>
      <c r="Q669" s="18"/>
      <c r="R669" s="18"/>
      <c r="S669" s="18"/>
      <c r="T669" s="18"/>
      <c r="U669" s="18"/>
      <c r="V669" s="18"/>
      <c r="W669" s="18"/>
    </row>
    <row r="670" spans="1:27">
      <c r="B670" s="156"/>
      <c r="C670" s="157"/>
      <c r="D670" s="157"/>
      <c r="E670" s="157"/>
      <c r="F670" s="157"/>
      <c r="O670" s="18"/>
      <c r="P670" s="18"/>
      <c r="Q670" s="18"/>
      <c r="R670" s="18"/>
      <c r="S670" s="18"/>
      <c r="T670" s="18"/>
      <c r="U670" s="18"/>
      <c r="V670" s="18"/>
      <c r="W670" s="18"/>
    </row>
    <row r="671" spans="1:27">
      <c r="B671" s="154"/>
      <c r="C671" s="158"/>
      <c r="D671" s="158"/>
      <c r="E671" s="158"/>
      <c r="F671" s="158"/>
      <c r="O671" s="18"/>
      <c r="P671" s="18"/>
      <c r="Q671" s="18"/>
      <c r="R671" s="18"/>
      <c r="S671" s="18"/>
      <c r="T671" s="18"/>
      <c r="U671" s="18"/>
      <c r="V671" s="18"/>
      <c r="W671" s="18"/>
    </row>
  </sheetData>
  <mergeCells count="18">
    <mergeCell ref="O11:R11"/>
    <mergeCell ref="B667:K667"/>
    <mergeCell ref="A1:W1"/>
    <mergeCell ref="A2:W2"/>
    <mergeCell ref="A3:W3"/>
    <mergeCell ref="C10:F10"/>
    <mergeCell ref="G10:R10"/>
    <mergeCell ref="W10:W12"/>
    <mergeCell ref="S10:V11"/>
    <mergeCell ref="E11:E12"/>
    <mergeCell ref="B668:K668"/>
    <mergeCell ref="A10:A12"/>
    <mergeCell ref="B10:B12"/>
    <mergeCell ref="C11:C12"/>
    <mergeCell ref="D11:D12"/>
    <mergeCell ref="F11:F12"/>
    <mergeCell ref="G11:J11"/>
    <mergeCell ref="K11:N11"/>
  </mergeCells>
  <pageMargins left="0.27559055118110198" right="0.59055118110236204" top="0.35433070866141703" bottom="0.70866141732283505" header="0.511811023622047" footer="0"/>
  <pageSetup paperSize="5" scale="34" firstPageNumber="0" orientation="landscape" useFirstPageNumber="1" horizontalDpi="300" verticalDpi="300" r:id="rId1"/>
  <headerFooter>
    <oddFooter>&amp;C&amp;P</oddFooter>
  </headerFooter>
  <rowBreaks count="11" manualBreakCount="11">
    <brk id="91" max="16383" man="1"/>
    <brk id="117" min="1" max="20" man="1"/>
    <brk id="192" min="1" max="20" man="1"/>
    <brk id="246" min="1" max="20" man="1"/>
    <brk id="319" min="1" max="20" man="1"/>
    <brk id="366" min="1" max="20" man="1"/>
    <brk id="465" min="1" max="20" man="1"/>
    <brk id="515" min="1" max="20" man="1"/>
    <brk id="549" min="1" max="20" man="1"/>
    <brk id="593" min="1" max="20" man="1"/>
    <brk id="635" min="1" max="20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DE424-52FD-49A9-8381-C2B8EAFDFF53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Kendali Global</vt:lpstr>
      <vt:lpstr>Kendali Rekening</vt:lpstr>
      <vt:lpstr>Sheet1</vt:lpstr>
      <vt:lpstr>'Kendali Global'!Print_Area</vt:lpstr>
      <vt:lpstr>'Kendali Rekening'!Print_Area</vt:lpstr>
      <vt:lpstr>'Kendali Global'!Print_Titles</vt:lpstr>
      <vt:lpstr>'Kendali Rekening'!Print_Titles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Windows User</cp:lastModifiedBy>
  <cp:lastPrinted>2024-08-09T02:29:43Z</cp:lastPrinted>
  <dcterms:created xsi:type="dcterms:W3CDTF">2023-06-13T07:58:00Z</dcterms:created>
  <dcterms:modified xsi:type="dcterms:W3CDTF">2024-09-26T04:08:30Z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8D603BF8A1FE41FEB1E1315E10D34EA6_12</vt:lpwstr>
  </property>
  <property fmtid="{D5CDD505-2E9C-101B-9397-08002B2CF9AE}" pid="3" name="KSOProductBuildVer">
    <vt:lpwstr>1033-12.2.0.13306</vt:lpwstr>
  </property>
</Properties>
</file>